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3awycarYx+Y/We5CzRWEbBQ+mr80ZfES0qKrhNleXs5S3wBTcNjyjB0EuODOzzLTIzQDdfarzsKvPBTtvuFToQ==" workbookSaltValue="hlOf+IRAd93wnGdIx4PyI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B13" i="7"/>
  <c r="E18" i="12"/>
  <c r="EL19" i="8"/>
  <c r="AP12" i="11"/>
  <c r="EN19" i="8"/>
  <c r="F12" i="21"/>
  <c r="G10" i="3"/>
  <c r="G12" i="12"/>
  <c r="BA13" i="16"/>
  <c r="AP10" i="11"/>
  <c r="Y12" i="11"/>
  <c r="T10" i="21"/>
  <c r="ES19" i="8"/>
  <c r="G18" i="12"/>
  <c r="C18" i="7"/>
  <c r="R8" i="9"/>
  <c r="X12" i="21" s="1"/>
  <c r="BM19" i="8"/>
  <c r="AL13" i="16"/>
  <c r="BJ17" i="11"/>
  <c r="BH15" i="16"/>
  <c r="V11" i="16"/>
  <c r="BF16" i="11"/>
  <c r="BL12" i="11"/>
  <c r="S13" i="16"/>
  <c r="V12" i="21"/>
  <c r="P13" i="16"/>
  <c r="AM13" i="20"/>
  <c r="H13" i="12"/>
  <c r="F13" i="7"/>
  <c r="T13" i="12"/>
  <c r="S9" i="17"/>
  <c r="BI10" i="11"/>
  <c r="S16" i="14"/>
  <c r="V16" i="14" s="1"/>
  <c r="BJ11" i="11"/>
  <c r="BJ12"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D9" i="8"/>
  <c r="BA13" i="8"/>
  <c r="L10" i="2"/>
  <c r="E13" i="17"/>
  <c r="L16" i="2"/>
  <c r="X10" i="21"/>
  <c r="U9" i="17"/>
  <c r="U19" i="17" s="1"/>
  <c r="T13" i="20"/>
  <c r="T13" i="16"/>
  <c r="AP13" i="16"/>
  <c r="AA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AV18" i="21"/>
  <c r="I19" i="8"/>
  <c r="AC10" i="11"/>
  <c r="C11" i="6"/>
  <c r="M18" i="2"/>
  <c r="AN12" i="11"/>
  <c r="D10" i="6"/>
  <c r="K9" i="7"/>
  <c r="E9" i="6"/>
  <c r="K9" i="12" s="1"/>
  <c r="J10" i="2"/>
  <c r="AO17" i="11"/>
  <c r="B17" i="6"/>
  <c r="AO15" i="11"/>
  <c r="AL16" i="11"/>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R10" i="21"/>
  <c r="R13" i="21" s="1"/>
  <c r="V9" i="11"/>
  <c r="Q10" i="21"/>
  <c r="V11" i="11"/>
  <c r="BK15" i="11"/>
  <c r="AO9" i="11"/>
  <c r="S17" i="16"/>
  <c r="BF17" i="11"/>
  <c r="Q17" i="20"/>
  <c r="Q18" i="20" s="1"/>
  <c r="BH15" i="11"/>
  <c r="BH9" i="16"/>
  <c r="F15" i="16"/>
  <c r="BL15" i="16" s="1"/>
  <c r="BE12" i="21"/>
  <c r="BE9" i="13"/>
  <c r="AL9" i="11"/>
  <c r="E11" i="6"/>
  <c r="BI17" i="11"/>
  <c r="X17" i="20"/>
  <c r="BJ15" i="11"/>
  <c r="BI15" i="11"/>
  <c r="S9" i="14"/>
  <c r="V9" i="14" s="1"/>
  <c r="BH9" i="11"/>
  <c r="BM12" i="11"/>
  <c r="AP10" i="21"/>
  <c r="X9" i="17"/>
  <c r="BK11" i="11"/>
  <c r="X11" i="17"/>
  <c r="BK9" i="11"/>
  <c r="BF10" i="11"/>
  <c r="BK12" i="11"/>
  <c r="BL17" i="11"/>
  <c r="P17" i="17"/>
  <c r="BM16" i="11"/>
  <c r="BG10" i="11"/>
  <c r="BH17" i="16"/>
  <c r="V15" i="11"/>
  <c r="AP16" i="20"/>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K12" i="7"/>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K15" i="12"/>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AC13" i="11" s="1"/>
  <c r="H13" i="11"/>
  <c r="E13" i="12" s="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L19" i="21" l="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Q20" i="11"/>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<sst xmlns="http://schemas.openxmlformats.org/spreadsheetml/2006/main" count="2080" uniqueCount="905">
  <si>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</si>
  <si>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</si>
  <si>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</si>
  <si>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</si>
  <si>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</si>
  <si>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</si>
  <si>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</si>
  <si>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</si>
  <si>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</si>
  <si>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</si>
  <si>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</si>
  <si>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</si>
  <si>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</si>
  <si>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</si>
  <si>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</si>
  <si>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</si>
  <si>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</si>
  <si>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</si>
  <si>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</si>
  <si>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</si>
  <si>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</si>
  <si>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</si>
  <si>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</si>
  <si>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</si>
  <si>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</si>
  <si>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</si>
  <si>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</si>
  <si>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</si>
  <si>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</si>
  <si>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</si>
  <si>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</si>
  <si>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</si>
  <si>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</si>
  <si>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</si>
  <si>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</si>
  <si>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</si>
  <si>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</si>
  <si>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</si>
  <si>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</si>
  <si>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</si>
  <si>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</si>
  <si>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</si>
  <si>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</si>
  <si>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</si>
  <si>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</si>
  <si>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</si>
  <si>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</si>
  <si>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</si>
  <si>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</si>
  <si>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</si>
  <si>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</si>
  <si>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</si>
  <si>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</si>
  <si>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</si>
  <si>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</si>
  <si>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</si>
  <si>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</si>
  <si>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</si>
  <si>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</si>
  <si>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</si>
  <si>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</si>
  <si>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</si>
  <si>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</si>
  <si>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</si>
  <si>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</si>
  <si>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</si>
  <si>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</si>
  <si>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</si>
  <si>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</si>
  <si>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</si>
  <si>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</si>
  <si>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</si>
  <si>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</si>
  <si>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</si>
  <si>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</si>
  <si>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</si>
  <si>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</si>
  <si>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</si>
  <si>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</si>
  <si>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</si>
  <si>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</si>
  <si>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</si>
  <si>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</si>
  <si>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</si>
  <si>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</si>
  <si>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</si>
  <si>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</si>
  <si>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</si>
  <si>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</si>
  <si>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</si>
  <si>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</si>
  <si>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</si>
  <si>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</si>
  <si>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</si>
  <si>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</si>
  <si>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</si>
  <si>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</si>
  <si>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</si>
  <si>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</si>
  <si>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</si>
  <si>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</si>
  <si>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</si>
  <si>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</si>
  <si>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</si>
  <si>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</si>
  <si>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</si>
  <si>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</si>
  <si>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</si>
  <si>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</si>
  <si>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</si>
  <si>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</si>
  <si>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</si>
  <si>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</si>
  <si>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</si>
  <si>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</si>
  <si>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</si>
  <si>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</si>
  <si>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</si>
  <si>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</si>
  <si>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</si>
  <si>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</si>
  <si>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</si>
  <si>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</si>
  <si>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</si>
  <si>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</si>
  <si>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</si>
  <si>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</si>
  <si>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</si>
  <si>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</si>
  <si>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</si>
  <si>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</si>
  <si>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</si>
  <si>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</si>
  <si>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</si>
  <si>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</si>
  <si>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</si>
  <si>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</si>
  <si>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</si>
  <si>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</si>
  <si>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</si>
  <si>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</si>
  <si>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</si>
  <si>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</si>
  <si>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</si>
  <si>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</si>
  <si>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</si>
  <si>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</si>
  <si>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</si>
  <si>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</si>
  <si>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</si>
  <si>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</si>
  <si>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</si>
  <si>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</si>
  <si>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</si>
  <si>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</si>
  <si>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</si>
  <si>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</si>
  <si>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</si>
  <si>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</si>
  <si>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</si>
  <si>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</si>
  <si>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</si>
  <si>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</si>
  <si>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</si>
  <si>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</si>
  <si>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</si>
  <si>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</si>
  <si>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</si>
  <si>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</si>
  <si>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</si>
  <si>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</si>
  <si>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</si>
  <si>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</si>
  <si>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</si>
  <si>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</si>
  <si>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</si>
  <si>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</si>
  <si>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</si>
  <si>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</si>
  <si>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</si>
  <si>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</si>
  <si>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</si>
  <si>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</si>
  <si>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</si>
  <si>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</si>
  <si>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</si>
  <si>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</si>
  <si>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</si>
  <si>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</si>
  <si>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</si>
  <si>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</si>
  <si>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</si>
  <si>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</si>
  <si>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</si>
  <si>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</si>
  <si>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</si>
  <si>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</si>
  <si>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</si>
  <si>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</si>
  <si>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</si>
  <si>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</si>
  <si>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</si>
  <si>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</si>
  <si>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</si>
  <si>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</si>
  <si>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</si>
  <si>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</si>
  <si>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</si>
  <si>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</si>
  <si>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</si>
  <si>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</si>
  <si>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</si>
  <si>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</si>
  <si>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</si>
  <si>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</si>
  <si>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</si>
  <si>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</si>
  <si>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</si>
  <si>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</si>
  <si>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</si>
  <si>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</si>
  <si>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</si>
  <si>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</si>
  <si>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</si>
  <si>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</si>
  <si>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</si>
  <si>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</si>
  <si>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</si>
  <si>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</si>
  <si>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</si>
  <si>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</si>
  <si>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</si>
  <si>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</si>
  <si>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</si>
  <si>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</si>
  <si>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</si>
  <si>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</si>
  <si>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</si>
  <si>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</si>
  <si>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</si>
  <si>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</si>
  <si>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</si>
  <si>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</si>
  <si>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</si>
  <si>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</si>
  <si>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</si>
  <si>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</si>
  <si>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</si>
  <si>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</si>
  <si>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</si>
  <si>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</si>
  <si>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</si>
  <si>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</si>
  <si>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</si>
  <si>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</si>
  <si>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</si>
  <si>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</si>
  <si>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</si>
  <si>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</si>
  <si>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</si>
  <si>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</si>
  <si>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</si>
  <si>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</si>
  <si>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</si>
  <si>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</si>
  <si>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</si>
  <si>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</si>
  <si>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</si>
  <si>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</si>
  <si>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</si>
  <si>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</si>
  <si>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</si>
  <si>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</si>
  <si>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</si>
  <si>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</si>
  <si>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</si>
  <si>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</si>
  <si>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</si>
  <si>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</si>
  <si>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</si>
  <si>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</si>
  <si>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</si>
  <si>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</si>
  <si>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</si>
  <si>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</si>
  <si>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</si>
  <si>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</si>
  <si>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</si>
  <si>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</si>
  <si>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</si>
  <si>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</si>
  <si>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</si>
  <si>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</si>
  <si>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</si>
  <si>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</si>
  <si>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</si>
  <si>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</si>
  <si>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</si>
  <si>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</si>
  <si>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</si>
  <si>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</si>
  <si>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</si>
  <si>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</si>
  <si>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</si>
  <si>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</si>
  <si>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</si>
  <si>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</si>
  <si>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</si>
  <si>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</si>
  <si>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</si>
  <si>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</si>
  <si>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</si>
  <si>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</si>
  <si>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</si>
  <si>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</si>
  <si>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</si>
  <si>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</si>
  <si>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</si>
  <si>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</si>
  <si>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</si>
  <si>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</si>
  <si>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</si>
  <si>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</si>
  <si>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</si>
  <si>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</si>
  <si>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</si>
  <si>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</si>
  <si>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</si>
  <si>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</si>
  <si>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</si>
  <si>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</si>
  <si>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</si>
  <si>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</si>
  <si>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</si>
  <si>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</si>
  <si>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</si>
  <si>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</si>
  <si>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</si>
  <si>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</si>
  <si>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</si>
  <si>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</si>
  <si>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</si>
  <si>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</si>
  <si>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</si>
  <si>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</si>
  <si>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</si>
  <si>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</si>
  <si>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</si>
  <si>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</si>
  <si>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</si>
  <si>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</si>
  <si>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</si>
  <si>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</si>
  <si>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</si>
  <si>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</si>
  <si>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</si>
  <si>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</si>
  <si>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</si>
  <si>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</si>
  <si>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</si>
  <si>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</si>
  <si>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</si>
  <si>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</si>
  <si>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</si>
  <si>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</si>
  <si>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</si>
  <si>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</si>
  <si>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</si>
  <si>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</si>
  <si>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</si>
  <si>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</si>
  <si>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</si>
  <si>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</si>
  <si>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</si>
  <si>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</si>
  <si>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</si>
  <si>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</si>
  <si>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</si>
  <si>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</si>
  <si>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</si>
  <si>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</si>
  <si>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</si>
  <si>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</si>
  <si>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</si>
  <si>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</si>
  <si>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</si>
  <si>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</si>
  <si>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</si>
  <si>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</si>
  <si>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</si>
  <si>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</si>
  <si>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</si>
  <si>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</si>
  <si>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</si>
  <si>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</si>
  <si>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</si>
  <si>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</si>
  <si>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</si>
  <si>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</si>
  <si>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</si>
  <si>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</si>
  <si>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</si>
  <si>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</si>
  <si>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</si>
  <si>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</si>
  <si>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</si>
  <si>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</si>
  <si>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</si>
  <si>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</si>
  <si>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</si>
  <si>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</si>
  <si>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</si>
  <si>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</si>
  <si>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</si>
  <si>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</si>
  <si>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</si>
  <si>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</si>
  <si>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</si>
  <si>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</si>
  <si>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</si>
  <si>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</si>
  <si>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</si>
  <si>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</si>
  <si>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</si>
  <si>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</si>
  <si>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</si>
  <si>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</si>
  <si>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</si>
  <si>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</si>
  <si>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</si>
  <si>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</si>
  <si>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</si>
  <si>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</si>
  <si>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</si>
  <si>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</si>
  <si>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</si>
  <si>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</si>
  <si>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</si>
  <si>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</si>
  <si>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</si>
  <si>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</si>
  <si>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</si>
  <si>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</si>
  <si>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</si>
  <si>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</si>
  <si>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</si>
  <si>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</si>
  <si>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</si>
  <si>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</si>
  <si>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</si>
  <si>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</si>
  <si>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</si>
  <si>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</si>
  <si>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</si>
  <si>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</si>
  <si>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</si>
  <si>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</si>
  <si>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</si>
  <si>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</si>
  <si>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</si>
  <si>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</si>
  <si>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</si>
  <si>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</si>
  <si>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</si>
  <si>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</si>
  <si>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</si>
  <si>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</si>
  <si>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</si>
  <si>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</si>
  <si>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</si>
  <si>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</si>
  <si>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</si>
  <si>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</si>
  <si>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</si>
  <si>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</si>
  <si>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</si>
  <si>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</si>
  <si>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</si>
  <si>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</si>
  <si>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</si>
  <si>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</si>
  <si>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</si>
  <si>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</si>
  <si>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</si>
  <si>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</si>
  <si>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</si>
  <si>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</si>
  <si>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</si>
  <si>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</si>
  <si>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</si>
  <si>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</si>
  <si>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</si>
  <si>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</si>
  <si>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</si>
  <si>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</si>
  <si>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</si>
  <si>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</si>
  <si>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</si>
  <si>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</si>
  <si>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</si>
  <si>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</si>
  <si>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</si>
  <si>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</si>
  <si>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</si>
  <si>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</si>
  <si>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</si>
  <si>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</si>
  <si>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</si>
  <si>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</si>
  <si>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</si>
  <si>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</si>
  <si>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</si>
  <si>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</si>
  <si>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</si>
  <si>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</si>
  <si>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</si>
  <si>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</si>
  <si>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</si>
  <si>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</si>
  <si>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</si>
  <si>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</si>
  <si>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</si>
  <si>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</si>
  <si>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</si>
  <si>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</si>
  <si>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</si>
  <si>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</si>
  <si>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</si>
  <si>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</si>
  <si>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</si>
  <si>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</si>
  <si>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</si>
  <si>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</si>
  <si>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</si>
  <si>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</si>
  <si>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</si>
  <si>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</si>
  <si>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</si>
  <si>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</si>
  <si>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</si>
  <si>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</si>
  <si>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</si>
  <si>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</si>
  <si>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</si>
  <si>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</si>
  <si>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</si>
  <si>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</si>
  <si>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</si>
  <si>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</si>
  <si>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</si>
  <si>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</si>
  <si>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</si>
  <si>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</si>
  <si>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</si>
  <si>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</si>
  <si>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</si>
  <si>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</si>
  <si>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</si>
  <si>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</si>
  <si>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</si>
  <si>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</si>
  <si>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</si>
  <si>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</si>
  <si>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</si>
  <si>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</si>
  <si>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</si>
  <si>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</si>
  <si>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</si>
  <si>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</si>
  <si>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</si>
  <si>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</si>
  <si>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</si>
  <si>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</si>
  <si>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</si>
  <si>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</si>
  <si>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</si>
  <si>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</si>
  <si>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</si>
  <si>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</si>
  <si>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</si>
  <si>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</si>
  <si>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</si>
  <si>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</si>
  <si>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</si>
  <si>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</si>
  <si>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</si>
  <si>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</si>
  <si>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</si>
  <si>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</si>
  <si>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</si>
  <si>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</si>
  <si>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</si>
  <si>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</si>
  <si>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</si>
  <si>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</si>
  <si>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</si>
  <si>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</si>
  <si>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</si>
  <si>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</si>
  <si>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</si>
  <si>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</si>
  <si>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</si>
  <si>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</si>
  <si>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</si>
  <si>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</si>
  <si>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</si>
  <si>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</si>
  <si>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</si>
  <si>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</si>
  <si>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</si>
  <si>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</si>
  <si>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</si>
  <si>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</si>
  <si>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</si>
  <si>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</si>
  <si>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</si>
  <si>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</si>
  <si>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</si>
  <si>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</si>
  <si>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</si>
  <si>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</si>
  <si>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</si>
  <si>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</si>
  <si>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</si>
  <si>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</si>
  <si>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</si>
  <si>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</si>
  <si>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</si>
  <si>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</si>
  <si>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</si>
  <si>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</si>
  <si>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</si>
  <si>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</si>
  <si>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</si>
  <si>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</si>
  <si>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</si>
  <si>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</si>
  <si>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</si>
  <si>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</si>
  <si>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</si>
  <si>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</si>
  <si>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</si>
  <si>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</si>
  <si>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</si>
  <si>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</si>
  <si>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</si>
  <si>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</si>
  <si>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</si>
  <si>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</si>
  <si>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</si>
  <si>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</si>
  <si>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</si>
  <si>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</si>
  <si>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</si>
  <si>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</si>
  <si>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</si>
  <si>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</si>
  <si>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</si>
  <si>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</si>
  <si>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</si>
  <si>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</si>
  <si>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</si>
  <si>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</si>
  <si>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</si>
  <si>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</si>
  <si>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</si>
  <si>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</si>
  <si>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</si>
  <si>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</si>
  <si>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</si>
  <si>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</si>
  <si>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</si>
  <si>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</si>
  <si>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</si>
  <si>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</si>
  <si>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</si>
  <si>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</si>
  <si>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</si>
  <si>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</si>
  <si>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</si>
  <si>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</si>
  <si>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</si>
  <si>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</si>
  <si>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</si>
  <si>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</si>
  <si>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</si>
  <si>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</si>
  <si>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</si>
  <si>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</si>
  <si>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</si>
  <si>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</si>
  <si>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</si>
  <si>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</si>
  <si>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</si>
  <si>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</si>
  <si>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</si>
  <si>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</si>
  <si>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</si>
  <si>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</si>
  <si>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</si>
  <si>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</si>
  <si>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</si>
  <si>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</si>
  <si>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</si>
  <si>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</si>
  <si>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</si>
  <si>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</si>
  <si>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</si>
  <si>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</si>
  <si>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</si>
  <si>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</si>
  <si>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</si>
  <si>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</si>
  <si>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</si>
  <si>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</si>
  <si>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</si>
  <si>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</si>
  <si>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</si>
  <si>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</si>
  <si>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</si>
  <si>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</si>
  <si>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</si>
  <si>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</si>
  <si>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</si>
  <si>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</si>
  <si>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</si>
  <si>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</si>
  <si>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</si>
  <si>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</si>
  <si>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</si>
  <si>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</si>
  <si>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</si>
  <si>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</si>
  <si>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</si>
  <si>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</si>
  <si>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</si>
  <si>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</si>
  <si>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</si>
  <si>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</si>
  <si>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</si>
  <si>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</si>
  <si>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</si>
  <si>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</si>
  <si>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</si>
  <si>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</si>
  <si>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</si>
  <si>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</si>
  <si>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</si>
  <si>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</si>
  <si>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</si>
  <si>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</si>
  <si>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</si>
  <si>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</si>
  <si>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</si>
  <si>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</si>
  <si>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</si>
  <si>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</si>
  <si>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</si>
  <si>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</si>
  <si>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</si>
  <si>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</si>
  <si>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</si>
  <si>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</si>
  <si>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</si>
  <si>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</si>
  <si>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</si>
  <si>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</si>
  <si>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</si>
  <si>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</si>
  <si>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</si>
  <si>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</si>
  <si>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</si>
  <si>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</si>
  <si>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</si>
  <si>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</si>
  <si>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</si>
  <si>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</si>
  <si>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</si>
  <si>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</si>
  <si>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</si>
  <si>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</si>
  <si>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</si>
  <si>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</si>
  <si>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</si>
  <si>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</si>
  <si>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</si>
  <si>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</si>
  <si>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</si>
  <si>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</si>
  <si>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</si>
  <si>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</si>
  <si>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</si>
  <si>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</si>
  <si>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</si>
  <si>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</si>
  <si>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</si>
  <si>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</si>
  <si>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</si>
  <si>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</si>
  <si>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</si>
  <si>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</si>
  <si>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</si>
  <si>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</si>
  <si>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</si>
  <si>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</si>
  <si>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</si>
  <si>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</si>
  <si>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</si>
  <si>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</si>
  <si>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</si>
  <si>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</si>
  <si>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</si>
  <si>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</si>
  <si>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</si>
  <si>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</si>
  <si>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</si>
  <si>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</si>
  <si>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</si>
  <si>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</si>
  <si>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</si>
  <si>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</si>
  <si>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</si>
  <si>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</si>
  <si>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</si>
  <si>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</si>
  <si>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</si>
  <si>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</si>
  <si>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</si>
  <si>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</si>
  <si>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</si>
  <si>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</si>
  <si>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</si>
  <si>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</si>
  <si>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</si>
  <si>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</si>
  <si>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</si>
  <si>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</si>
  <si>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</si>
  <si>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</si>
  <si>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</si>
  <si>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</si>
  <si>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</si>
  <si>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</si>
  <si>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</si>
  <si>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</si>
  <si>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</si>
  <si>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</si>
  <si>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</si>
  <si>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</si>
  <si>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</si>
  <si>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</si>
  <si>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</si>
  <si>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</si>
  <si>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</si>
  <si>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</si>
  <si>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</si>
  <si>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</si>
  <si>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</si>
  <si>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</si>
  <si>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</si>
  <si>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</si>
  <si>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</si>
  <si>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</si>
  <si>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</si>
  <si>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</si>
  <si>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</si>
  <si>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</si>
  <si>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</si>
  <si>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</si>
  <si>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</si>
  <si>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</si>
  <si>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</si>
  <si>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</si>
  <si>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</si>
  <si>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</si>
  <si>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</si>
  <si>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</si>
  <si>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</si>
  <si>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</si>
  <si>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</si>
  <si>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</si>
  <si>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</si>
  <si>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</si>
  <si>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</si>
  <si>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</si>
  <si>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</si>
  <si>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</si>
  <si>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</si>
  <si>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</si>
  <si>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</si>
  <si>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</si>
  <si>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</si>
  <si>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</si>
  <si>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</si>
  <si>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</si>
  <si>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</si>
  <si>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</si>
  <si>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</si>
  <si>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</si>
  <si>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</si>
  <si>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</si>
  <si>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</si>
  <si>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ALICANTE-ALACANT</t>
  </si>
  <si>
    <t>Resumenes por Partidos Judiciales</t>
  </si>
  <si>
    <t>ORIHUELA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</si>
</sst>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sxdH9a6IEV0jiqcDNGtrZbOWLGknj7TNInRcMU5KVyy4JMGDnMp6u9nihP2qby/AWs5vpBpzZJ620/u89EtLA==" saltValue="2lrFU9EOmanGBKo3dst5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74.991946308724835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206</v>
      </c>
      <c r="D10" s="229">
        <f>IF(ISNUMBER(Datos!I10),Datos!I10," - ")</f>
        <v>206</v>
      </c>
      <c r="E10" s="230">
        <f>IF(ISNUMBER(Datos!J10),Datos!J10," - ")</f>
        <v>22</v>
      </c>
      <c r="F10" s="230">
        <f>IF(ISNUMBER(Datos!K10),Datos!K10," - ")</f>
        <v>18</v>
      </c>
      <c r="G10" s="1189" t="str">
        <f>IF(Datos!E10&lt;&gt;"",Datos!E10,Datos!D10)</f>
        <v>37</v>
      </c>
      <c r="H10" s="231">
        <f>IF(ISNUMBER(Datos!L10),Datos!L10," - ")</f>
        <v>210</v>
      </c>
      <c r="I10" s="1199" t="str">
        <f>IF(ISNUMBER(Datos!AS10/Datos!BM10),Datos!AS10/Datos!BM10," - ")</f>
        <v xml:space="preserve"> - </v>
      </c>
      <c r="J10" s="1200">
        <f>IF(ISNUMBER(Datos!BY10/Datos!CN10),Datos!BY10/Datos!CN10," - ")</f>
        <v>0</v>
      </c>
      <c r="K10" s="234">
        <f t="shared" ref="K10:K12" si="1">IF(ISNUMBER((E10-F10)/C10),(E10-F10)/C10," - ")</f>
        <v>1.9417475728155338E-2</v>
      </c>
      <c r="L10" s="1201">
        <f>IF(ISNUMBER(NºAsuntos!I10/NºAsuntos!G10),(NºAsuntos!I10/NºAsuntos!G10)*11," - ")</f>
        <v>128.33333333333331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206</v>
      </c>
      <c r="D13" s="1206">
        <f>SUBTOTAL(9,D9:D12)</f>
        <v>206</v>
      </c>
      <c r="E13" s="1207">
        <f>SUBTOTAL(9,E9:E12)</f>
        <v>22</v>
      </c>
      <c r="F13" s="1208">
        <f>SUBTOTAL(9,F9:F12)</f>
        <v>18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2721</v>
      </c>
      <c r="D15" s="229">
        <f>IF(ISNUMBER(IF(D_I="SI",Datos!I15,Datos!I15+Datos!AC15)),IF(D_I="SI",Datos!I15,Datos!I15+Datos!AC15)," - ")</f>
        <v>2689</v>
      </c>
      <c r="E15" s="230">
        <f>IF(ISNUMBER(IF(D_I="SI",Datos!J15,Datos!J15+Datos!AD15)),IF(D_I="SI",Datos!J15,Datos!J15+Datos!AD15)," - ")</f>
        <v>2479</v>
      </c>
      <c r="F15" s="230">
        <f>IF(ISNUMBER(IF(D_I="SI",Datos!K15,Datos!K15+Datos!AE15)),IF(D_I="SI",Datos!K15,Datos!K15+Datos!AE15)," - ")</f>
        <v>2068</v>
      </c>
      <c r="G15" s="1189" t="str">
        <f>IF(Datos!E15&lt;&gt;"",Datos!E15,Datos!D15)</f>
        <v>03</v>
      </c>
      <c r="H15" s="231">
        <f>IF(ISNUMBER(IF(D_I="SI",Datos!L15,Datos!L15+Datos!AF15)),IF(D_I="SI",Datos!L15,Datos!L15+Datos!AF15)," - ")</f>
        <v>3132</v>
      </c>
      <c r="I15" s="1199" t="str">
        <f>IF(ISNUMBER(Datos!AS15/Datos!BM15),Datos!AS15/Datos!BM15," - ")</f>
        <v xml:space="preserve"> - </v>
      </c>
      <c r="J15" s="1200">
        <f>IF(ISNUMBER(Datos!BY15/Datos!CN15),Datos!BY15/Datos!CN15," - ")</f>
        <v>0</v>
      </c>
      <c r="K15" s="234">
        <f t="shared" ref="K15:K17" si="3">IF(ISNUMBER((E15-F15)/C15),(E15-F15)/C15," - ")</f>
        <v>0.15104740904079383</v>
      </c>
      <c r="L15" s="1201">
        <f>IF(ISNUMBER(NºAsuntos!I15/NºAsuntos!G15),(NºAsuntos!I15/NºAsuntos!G15)*11," - ")</f>
        <v>16.659574468085104</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0</v>
      </c>
      <c r="D16" s="229">
        <f>IF(ISNUMBER(IF(D_I="SI",Datos!I16,Datos!I16+Datos!AC16)),IF(D_I="SI",Datos!I16,Datos!I16+Datos!AC16)," - ")</f>
        <v>0</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0</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366</v>
      </c>
      <c r="D17" s="229">
        <f>IF(ISNUMBER(IF(D_I="SI",Datos!I17,Datos!I17+Datos!AC17)),IF(D_I="SI",Datos!I17,Datos!I17+Datos!AC17)," - ")</f>
        <v>366</v>
      </c>
      <c r="E17" s="230">
        <f>IF(ISNUMBER(IF(D_I="SI",Datos!J17,Datos!J17+Datos!AD17)),IF(D_I="SI",Datos!J17,Datos!J17+Datos!AD17)," - ")</f>
        <v>408</v>
      </c>
      <c r="F17" s="230">
        <f>IF(ISNUMBER(IF(D_I="SI",Datos!K17,Datos!K17+Datos!AE17)),IF(D_I="SI",Datos!K17,Datos!K17+Datos!AE17)," - ")</f>
        <v>380</v>
      </c>
      <c r="G17" s="1189" t="str">
        <f>IF(Datos!E17&lt;&gt;"",Datos!E17,Datos!D17)</f>
        <v>37</v>
      </c>
      <c r="H17" s="231">
        <f>IF(ISNUMBER(IF(D_I="SI",Datos!L17,Datos!L17+Datos!AF17)),IF(D_I="SI",Datos!L17,Datos!L17+Datos!AF17)," - ")</f>
        <v>394</v>
      </c>
      <c r="I17" s="1199" t="str">
        <f>IF(ISNUMBER(Datos!AS17/Datos!BM17),Datos!AS17/Datos!BM17," - ")</f>
        <v xml:space="preserve"> - </v>
      </c>
      <c r="J17" s="1200" t="str">
        <f>IF(ISNUMBER((Datos!BY17+Datos!BZ17)/Datos!CN17),(Datos!BY17+Datos!BZ17)/Datos!CN17," - ")</f>
        <v xml:space="preserve"> - </v>
      </c>
      <c r="K17" s="234">
        <f t="shared" si="3"/>
        <v>7.650273224043716E-2</v>
      </c>
      <c r="L17" s="1201">
        <f>IF(ISNUMBER(NºAsuntos!I17/NºAsuntos!G17),(NºAsuntos!I17/NºAsuntos!G17)*11," - ")</f>
        <v>11.405263157894735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3087</v>
      </c>
      <c r="D18" s="1206">
        <f>SUBTOTAL(9,D15:D17)</f>
        <v>3055</v>
      </c>
      <c r="E18" s="1207">
        <f>SUBTOTAL(9,E15:E17)</f>
        <v>2887</v>
      </c>
      <c r="F18" s="1207">
        <f>SUBTOTAL(9,F15:F17)</f>
        <v>2448</v>
      </c>
      <c r="G18" s="1209" t="str">
        <f ca="1">INDIRECT(CONCATENATE("G",ROW()-1))</f>
        <v>37</v>
      </c>
      <c r="H18" s="1210">
        <f ca="1">SUMIF(G$14:G17,G18,H$14:H17)</f>
        <v>394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3293</v>
      </c>
      <c r="D19" s="1228">
        <f>SUBTOTAL(9,D9:D18)</f>
        <v>3261</v>
      </c>
      <c r="E19" s="1229">
        <f>SUBTOTAL(9,E9:E18)</f>
        <v>2909</v>
      </c>
      <c r="F19" s="1229">
        <f>SUBTOTAL(9,F9:F18)</f>
        <v>2466</v>
      </c>
      <c r="G19" s="1230"/>
      <c r="H19" s="1231">
        <f ca="1">SUMIF(B9:B18,"TOTAL",H9:H18)</f>
        <v>394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631</v>
      </c>
      <c r="O25" s="1485"/>
      <c r="P25" s="1485"/>
      <c r="Q25" s="1485"/>
      <c r="R25" s="1485"/>
      <c r="S25" s="1485"/>
      <c r="T25" s="1485"/>
      <c r="U25" s="1485"/>
      <c r="V25" s="1485"/>
      <c r="W25" s="1485"/>
      <c r="Y25" s="1485" t="s">
        <v>632</v>
      </c>
      <c r="Z25" s="1485"/>
      <c r="AA25" s="1485"/>
      <c r="AB25" s="1485"/>
      <c r="AC25" s="1485"/>
    </row>
    <row r="27" spans="1:31">
      <c r="N27" s="1185" t="s">
        <v>633</v>
      </c>
      <c r="O27" s="1480" t="s">
        <v>634</v>
      </c>
      <c r="P27" s="1480"/>
      <c r="Q27" s="1480"/>
      <c r="R27" s="1480"/>
      <c r="S27" s="1480"/>
      <c r="T27" s="1480"/>
      <c r="U27" s="1480"/>
      <c r="V27" s="1480"/>
      <c r="W27" s="1480"/>
      <c r="Y27" s="1185" t="s">
        <v>633</v>
      </c>
      <c r="Z27" s="1483" t="s">
        <v>635</v>
      </c>
      <c r="AA27" s="1483"/>
      <c r="AB27" s="1483"/>
      <c r="AC27" s="1483"/>
    </row>
    <row r="28" spans="1:31">
      <c r="N28" s="1185" t="s">
        <v>636</v>
      </c>
      <c r="O28" s="1480" t="s">
        <v>637</v>
      </c>
      <c r="P28" s="1480"/>
      <c r="Q28" s="1480"/>
      <c r="R28" s="1480"/>
      <c r="S28" s="1480"/>
      <c r="T28" s="1480"/>
      <c r="U28" s="1480"/>
      <c r="V28" s="1480"/>
      <c r="W28" s="1480"/>
      <c r="Y28" s="1185" t="s">
        <v>636</v>
      </c>
      <c r="Z28" s="1483" t="s">
        <v>638</v>
      </c>
      <c r="AA28" s="1483"/>
      <c r="AB28" s="1483"/>
      <c r="AC28" s="1483"/>
    </row>
    <row r="29" spans="1:31">
      <c r="N29" s="1185" t="s">
        <v>639</v>
      </c>
      <c r="O29" s="1480" t="s">
        <v>640</v>
      </c>
      <c r="P29" s="1480"/>
      <c r="Q29" s="1480"/>
      <c r="R29" s="1480"/>
      <c r="S29" s="1480"/>
      <c r="T29" s="1480"/>
      <c r="U29" s="1480"/>
      <c r="V29" s="1480"/>
      <c r="W29" s="1480"/>
      <c r="Y29" s="1185" t="s">
        <v>641</v>
      </c>
      <c r="Z29" s="1483" t="s">
        <v>642</v>
      </c>
      <c r="AA29" s="1483"/>
      <c r="AB29" s="1483"/>
      <c r="AC29" s="1483"/>
    </row>
    <row r="30" spans="1:31">
      <c r="N30" s="1185" t="s">
        <v>643</v>
      </c>
      <c r="O30" s="1480" t="s">
        <v>644</v>
      </c>
      <c r="P30" s="1480"/>
      <c r="Q30" s="1480"/>
      <c r="R30" s="1480"/>
      <c r="S30" s="1480"/>
      <c r="T30" s="1480"/>
      <c r="U30" s="1480"/>
      <c r="V30" s="1480"/>
      <c r="W30" s="1480"/>
      <c r="Y30" s="1185" t="s">
        <v>645</v>
      </c>
      <c r="Z30" s="1483" t="s">
        <v>646</v>
      </c>
      <c r="AA30" s="1483"/>
      <c r="AB30" s="1483"/>
      <c r="AC30" s="1483"/>
    </row>
    <row r="31" spans="1:31">
      <c r="N31" s="1185" t="s">
        <v>731</v>
      </c>
      <c r="O31" s="1480" t="s">
        <v>732</v>
      </c>
      <c r="P31" s="1480"/>
      <c r="Q31" s="1480"/>
      <c r="R31" s="1480"/>
      <c r="S31" s="1480"/>
      <c r="T31" s="1480"/>
      <c r="U31" s="1480"/>
      <c r="V31" s="1480"/>
      <c r="W31" s="1480"/>
      <c r="Y31" s="1185" t="s">
        <v>639</v>
      </c>
      <c r="Z31" s="1483" t="s">
        <v>640</v>
      </c>
      <c r="AA31" s="1483"/>
      <c r="AB31" s="1483"/>
      <c r="AC31" s="1483"/>
    </row>
    <row r="32" spans="1:31">
      <c r="N32" s="1185" t="s">
        <v>647</v>
      </c>
      <c r="O32" s="1480" t="s">
        <v>648</v>
      </c>
      <c r="P32" s="1480"/>
      <c r="Q32" s="1480"/>
      <c r="R32" s="1480"/>
      <c r="S32" s="1480"/>
      <c r="T32" s="1480"/>
      <c r="U32" s="1480"/>
      <c r="V32" s="1480"/>
      <c r="W32" s="1480"/>
      <c r="Y32" s="1185" t="s">
        <v>643</v>
      </c>
      <c r="Z32" s="1483" t="s">
        <v>644</v>
      </c>
      <c r="AA32" s="1483"/>
      <c r="AB32" s="1483"/>
      <c r="AC32" s="1483"/>
    </row>
    <row r="33" spans="14:29">
      <c r="N33" s="1185" t="s">
        <v>649</v>
      </c>
      <c r="O33" s="1480" t="s">
        <v>650</v>
      </c>
      <c r="P33" s="1480"/>
      <c r="Q33" s="1480"/>
      <c r="R33" s="1480"/>
      <c r="S33" s="1480"/>
      <c r="T33" s="1480"/>
      <c r="U33" s="1480"/>
      <c r="V33" s="1480"/>
      <c r="W33" s="1480"/>
      <c r="Y33" s="1185" t="s">
        <v>652</v>
      </c>
      <c r="Z33" s="1483" t="s">
        <v>653</v>
      </c>
      <c r="AA33" s="1483"/>
      <c r="AB33" s="1483"/>
      <c r="AC33" s="1483"/>
    </row>
    <row r="34" spans="14:29">
      <c r="N34" s="1185" t="s">
        <v>641</v>
      </c>
      <c r="O34" s="1480" t="s">
        <v>651</v>
      </c>
      <c r="P34" s="1480"/>
      <c r="Q34" s="1480"/>
      <c r="R34" s="1480"/>
      <c r="S34" s="1480"/>
      <c r="T34" s="1480"/>
      <c r="U34" s="1480"/>
      <c r="V34" s="1480"/>
      <c r="W34" s="1480"/>
      <c r="Y34" s="1185" t="s">
        <v>655</v>
      </c>
      <c r="Z34" s="1483" t="s">
        <v>656</v>
      </c>
      <c r="AA34" s="1483"/>
      <c r="AB34" s="1483"/>
      <c r="AC34" s="1483"/>
    </row>
    <row r="35" spans="14:29">
      <c r="N35" s="1185" t="s">
        <v>645</v>
      </c>
      <c r="O35" s="1480" t="s">
        <v>654</v>
      </c>
      <c r="P35" s="1480"/>
      <c r="Q35" s="1480"/>
      <c r="R35" s="1480"/>
      <c r="S35" s="1480"/>
      <c r="T35" s="1480"/>
      <c r="U35" s="1480"/>
      <c r="V35" s="1480"/>
      <c r="W35" s="1480"/>
      <c r="Y35" s="1186" t="s">
        <v>658</v>
      </c>
      <c r="Z35" s="1481" t="s">
        <v>659</v>
      </c>
      <c r="AA35" s="1481"/>
      <c r="AB35" s="1481"/>
      <c r="AC35" s="1481"/>
    </row>
    <row r="36" spans="14:29">
      <c r="N36" s="1185" t="s">
        <v>652</v>
      </c>
      <c r="O36" s="1480" t="s">
        <v>657</v>
      </c>
      <c r="P36" s="1480"/>
      <c r="Q36" s="1480"/>
      <c r="R36" s="1480"/>
      <c r="S36" s="1480"/>
      <c r="T36" s="1480"/>
      <c r="U36" s="1480"/>
      <c r="V36" s="1480"/>
      <c r="W36" s="1480"/>
      <c r="Y36" s="1185" t="s">
        <v>647</v>
      </c>
      <c r="Z36" s="1483" t="s">
        <v>648</v>
      </c>
      <c r="AA36" s="1483"/>
      <c r="AB36" s="1483"/>
      <c r="AC36" s="1483"/>
    </row>
    <row r="37" spans="14:29">
      <c r="N37" s="1185" t="s">
        <v>660</v>
      </c>
      <c r="O37" s="1480" t="s">
        <v>661</v>
      </c>
      <c r="P37" s="1480"/>
      <c r="Q37" s="1480"/>
      <c r="R37" s="1480"/>
      <c r="S37" s="1480"/>
      <c r="T37" s="1480"/>
      <c r="U37" s="1480"/>
      <c r="V37" s="1480"/>
      <c r="W37" s="1480"/>
      <c r="Y37" s="1187" t="s">
        <v>649</v>
      </c>
      <c r="Z37" s="1484" t="s">
        <v>650</v>
      </c>
      <c r="AA37" s="1484"/>
      <c r="AB37" s="1484"/>
      <c r="AC37" s="1484"/>
    </row>
    <row r="38" spans="14:29">
      <c r="N38" s="1185" t="s">
        <v>655</v>
      </c>
      <c r="O38" s="1480" t="s">
        <v>662</v>
      </c>
      <c r="P38" s="1480"/>
      <c r="Q38" s="1480"/>
      <c r="R38" s="1480"/>
      <c r="S38" s="1480"/>
      <c r="T38" s="1480"/>
      <c r="U38" s="1480"/>
      <c r="V38" s="1480"/>
      <c r="W38" s="1480"/>
    </row>
    <row r="39" spans="14:29">
      <c r="N39" s="1187" t="s">
        <v>658</v>
      </c>
      <c r="O39" s="1482" t="s">
        <v>663</v>
      </c>
      <c r="P39" s="1482"/>
      <c r="Q39" s="1482"/>
      <c r="R39" s="1482"/>
      <c r="S39" s="1482"/>
      <c r="T39" s="1482"/>
      <c r="U39" s="1482"/>
      <c r="V39" s="1482"/>
      <c r="W39" s="1482"/>
    </row>
  </sheetData>
  <sheetProtection algorithmName="SHA-512" hashValue="KishwYJIq3Lv1tMN5AGoYVlnzjiWa/GWpRDKg9cTgzlSo5xTNP/PLhSaV1ZrUKNB7vcgeN2ALAr0FPYiIhE4AA==" saltValue="5X1rh5d8i3O6t7U4nvdk8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sl3KfbYmKyAPHIJC0tafqLtFXc39PDbWzo+RlAcssSGXrLgAotsmO64s0bcE+hSqpUyhylDtkRl3iIcwpUk9w==" saltValue="PUj1WZZtKMdWUUGmiQR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752</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v>8778</v>
      </c>
      <c r="J9" s="185">
        <v>2316</v>
      </c>
      <c r="K9" s="185">
        <v>1298</v>
      </c>
      <c r="L9" s="185">
        <v>9796</v>
      </c>
      <c r="M9" s="185">
        <v>278</v>
      </c>
      <c r="N9" s="185">
        <v>641</v>
      </c>
      <c r="O9" s="185">
        <v>843</v>
      </c>
      <c r="P9" s="185">
        <v>528</v>
      </c>
      <c r="Q9" s="185">
        <v>573</v>
      </c>
      <c r="R9" s="185">
        <v>14917</v>
      </c>
      <c r="S9" s="185">
        <v>6539</v>
      </c>
      <c r="T9" s="185">
        <v>1967</v>
      </c>
      <c r="U9" s="185">
        <v>1510</v>
      </c>
      <c r="V9" s="185">
        <v>6996</v>
      </c>
      <c r="W9" s="185">
        <v>313</v>
      </c>
      <c r="X9" s="192">
        <v>746</v>
      </c>
      <c r="Y9" s="195">
        <v>364</v>
      </c>
      <c r="Z9" s="185">
        <v>190</v>
      </c>
      <c r="AA9" s="185">
        <v>192</v>
      </c>
      <c r="AB9" s="185">
        <v>362</v>
      </c>
      <c r="AC9" s="185">
        <v>0</v>
      </c>
      <c r="AD9" s="185">
        <v>0</v>
      </c>
      <c r="AE9" s="185">
        <v>0</v>
      </c>
      <c r="AF9" s="192">
        <v>0</v>
      </c>
      <c r="AG9" s="195">
        <v>351</v>
      </c>
      <c r="AH9" s="185">
        <v>211</v>
      </c>
      <c r="AI9" s="185">
        <v>181</v>
      </c>
      <c r="AJ9" s="196">
        <v>381</v>
      </c>
      <c r="AK9" s="184">
        <v>0</v>
      </c>
      <c r="AL9" s="185">
        <v>0</v>
      </c>
      <c r="AM9" s="185">
        <v>0</v>
      </c>
      <c r="AN9" s="192">
        <v>0</v>
      </c>
      <c r="AO9" s="262">
        <v>6</v>
      </c>
      <c r="AP9" s="158">
        <v>6</v>
      </c>
      <c r="AQ9" s="158">
        <v>6</v>
      </c>
      <c r="AR9" s="197">
        <v>6</v>
      </c>
      <c r="AS9" s="347" t="s">
        <v>800</v>
      </c>
      <c r="AT9" s="199"/>
      <c r="AU9" s="198"/>
      <c r="AV9" s="199"/>
      <c r="AW9" s="198"/>
      <c r="AX9" s="199"/>
      <c r="AY9" s="124">
        <f>IF(ISNUMBER(IF(J_V="SI",S9,S9+AG9)),IF(J_V="SI",S9,S9+AG9)," - ")</f>
        <v>6890</v>
      </c>
      <c r="AZ9" s="124">
        <f>IF(ISNUMBER(IF(J_V="SI",T9,T9+AH9)),IF(J_V="SI",T9,T9+AH9)," - ")</f>
        <v>2178</v>
      </c>
      <c r="BA9" s="125">
        <f>IF(ISNUMBER(IF(J_V="SI",U9,U9+AI9)),IF(J_V="SI",U9,U9+AI9)," - ")</f>
        <v>1691</v>
      </c>
      <c r="BB9" s="125">
        <f>IF(ISNUMBER(IF(J_V="SI",V9,V9+AJ9)),IF(J_V="SI",V9,V9+AJ9)," - ")</f>
        <v>7377</v>
      </c>
      <c r="BC9" s="126">
        <f>IF(ISNUMBER(X9),X9," - ")</f>
        <v>746</v>
      </c>
      <c r="BD9" s="127">
        <f>IF(ISNUMBER(BA9/AZ9),BA9/AZ9," - ")</f>
        <v>0.77640036730945827</v>
      </c>
      <c r="BE9" s="128">
        <f>IF(ISNUMBER(BB9/BA9),BB9/BA9, " - ")</f>
        <v>4.3625073920756945</v>
      </c>
      <c r="BF9" s="128">
        <f>IF(ISNUMBER(BC9/BA9),BC9/BA9, " - ")</f>
        <v>0.44115907746895328</v>
      </c>
      <c r="BG9" s="200">
        <f>IF(ISNUMBER((AY9+AZ9)/BA9),(AY9+AZ9)/BA9," - ")</f>
        <v>5.3625073920756945</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887</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206</v>
      </c>
      <c r="J10" s="185">
        <v>22</v>
      </c>
      <c r="K10" s="185">
        <v>18</v>
      </c>
      <c r="L10" s="185">
        <v>210</v>
      </c>
      <c r="M10" s="185">
        <v>9</v>
      </c>
      <c r="N10" s="185">
        <v>5</v>
      </c>
      <c r="O10" s="185">
        <v>4</v>
      </c>
      <c r="P10" s="185">
        <v>6</v>
      </c>
      <c r="Q10" s="185">
        <v>83</v>
      </c>
      <c r="R10" s="185">
        <v>122</v>
      </c>
      <c r="S10" s="185">
        <v>143</v>
      </c>
      <c r="T10" s="185">
        <v>38</v>
      </c>
      <c r="U10" s="185">
        <v>20</v>
      </c>
      <c r="V10" s="185">
        <v>161</v>
      </c>
      <c r="W10" s="185">
        <v>7</v>
      </c>
      <c r="X10" s="192">
        <v>11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794</v>
      </c>
      <c r="AT10" s="196"/>
      <c r="AU10" s="204"/>
      <c r="AV10" s="196"/>
      <c r="AW10" s="204"/>
      <c r="AX10" s="196"/>
      <c r="AY10" s="129">
        <f t="shared" ref="AY10:BC10" si="0">IF(ISNUMBER(S10),S10," - ")</f>
        <v>143</v>
      </c>
      <c r="AZ10" s="130">
        <f t="shared" si="0"/>
        <v>38</v>
      </c>
      <c r="BA10" s="130">
        <f t="shared" si="0"/>
        <v>20</v>
      </c>
      <c r="BB10" s="130">
        <f t="shared" si="0"/>
        <v>161</v>
      </c>
      <c r="BC10" s="126">
        <f t="shared" si="0"/>
        <v>7</v>
      </c>
      <c r="BD10" s="127">
        <f>IF(ISNUMBER(BA10/AZ10),BA10/AZ10," - ")</f>
        <v>0.52631578947368418</v>
      </c>
      <c r="BE10" s="128">
        <f>IF(ISNUMBER(BB10/BA10),BB10/BA10, " - ")</f>
        <v>8.0500000000000007</v>
      </c>
      <c r="BF10" s="128">
        <f>IF(ISNUMBER(BC10/BA10),BC10/BA10, " - ")</f>
        <v>0.35</v>
      </c>
      <c r="BG10" s="200">
        <f>IF(ISNUMBER((AY10+AZ10)/BA10),(AY10+AZ10)/BA10," - ")</f>
        <v>9.0500000000000007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888</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809</v>
      </c>
      <c r="J12" s="187" t="s">
        <v>801</v>
      </c>
      <c r="K12" s="187" t="s">
        <v>855</v>
      </c>
      <c r="L12" s="187" t="s">
        <v>814</v>
      </c>
      <c r="M12" s="187" t="s">
        <v>487</v>
      </c>
      <c r="N12" s="187" t="s">
        <v>501</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803</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889</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8984</v>
      </c>
      <c r="J13" s="188">
        <f t="shared" si="6"/>
        <v>2338</v>
      </c>
      <c r="K13" s="188">
        <f t="shared" si="6"/>
        <v>1316</v>
      </c>
      <c r="L13" s="188">
        <f t="shared" si="6"/>
        <v>10006</v>
      </c>
      <c r="M13" s="188">
        <f t="shared" si="6"/>
        <v>287</v>
      </c>
      <c r="N13" s="188">
        <f t="shared" si="6"/>
        <v>646</v>
      </c>
      <c r="O13" s="188">
        <f t="shared" si="6"/>
        <v>847</v>
      </c>
      <c r="P13" s="188">
        <f t="shared" si="6"/>
        <v>534</v>
      </c>
      <c r="Q13" s="188">
        <f t="shared" si="6"/>
        <v>656</v>
      </c>
      <c r="R13" s="188">
        <f t="shared" si="6"/>
        <v>15039</v>
      </c>
      <c r="S13" s="188">
        <f t="shared" si="6"/>
        <v>6682</v>
      </c>
      <c r="T13" s="188">
        <f t="shared" si="6"/>
        <v>2005</v>
      </c>
      <c r="U13" s="188">
        <f t="shared" si="6"/>
        <v>1530</v>
      </c>
      <c r="V13" s="188">
        <f t="shared" si="6"/>
        <v>7157</v>
      </c>
      <c r="W13" s="188">
        <f t="shared" si="6"/>
        <v>320</v>
      </c>
      <c r="X13" s="188">
        <f t="shared" si="6"/>
        <v>757</v>
      </c>
      <c r="Y13" s="188">
        <f t="shared" si="6"/>
        <v>364</v>
      </c>
      <c r="Z13" s="188">
        <f t="shared" si="6"/>
        <v>190</v>
      </c>
      <c r="AA13" s="188">
        <f t="shared" si="6"/>
        <v>192</v>
      </c>
      <c r="AB13" s="188">
        <f t="shared" si="6"/>
        <v>362</v>
      </c>
      <c r="AC13" s="188">
        <f t="shared" si="6"/>
        <v>0</v>
      </c>
      <c r="AD13" s="188">
        <f t="shared" si="6"/>
        <v>0</v>
      </c>
      <c r="AE13" s="188">
        <f t="shared" si="6"/>
        <v>0</v>
      </c>
      <c r="AF13" s="188">
        <f>SUBTOTAL(9,AF9:AF12)</f>
        <v>0</v>
      </c>
      <c r="AG13" s="188">
        <f t="shared" ref="AG13:AT13" si="7">SUBTOTAL(9,AG8:AG12)</f>
        <v>351</v>
      </c>
      <c r="AH13" s="188">
        <f t="shared" si="7"/>
        <v>211</v>
      </c>
      <c r="AI13" s="188">
        <f t="shared" si="7"/>
        <v>181</v>
      </c>
      <c r="AJ13" s="188">
        <f t="shared" si="7"/>
        <v>381</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7033</v>
      </c>
      <c r="AZ13" s="188">
        <f>SUBTOTAL(9,AZ8:AZ12)</f>
        <v>2216</v>
      </c>
      <c r="BA13" s="188">
        <f>SUBTOTAL(9,BA8:BA12)</f>
        <v>1711</v>
      </c>
      <c r="BB13" s="188">
        <f>SUBTOTAL(9,BB8:BB12)</f>
        <v>7538</v>
      </c>
      <c r="BC13" s="188">
        <f>SUBTOTAL(9,BC8:BC12)</f>
        <v>753</v>
      </c>
      <c r="BD13" s="209">
        <f>IF(ISNUMBER(BA13/AZ13),BA13/AZ13," - ")</f>
        <v>0.7721119133574007</v>
      </c>
      <c r="BE13" s="210">
        <f>IF(ISNUMBER(BB13/BA13),BB13/BA13, " - ")</f>
        <v>4.4056107539450613</v>
      </c>
      <c r="BF13" s="210">
        <f>IF(ISNUMBER(BC13/BA13),BC13/BA13, " - ")</f>
        <v>0.44009351256575102</v>
      </c>
      <c r="BG13" s="211">
        <f>IF(ISNUMBER((AY13+AZ13)/BA13),(AY13+AZ13)/BA13," - ")</f>
        <v>5.4056107539450613</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2689</v>
      </c>
      <c r="J15" s="187">
        <v>2479</v>
      </c>
      <c r="K15" s="187">
        <v>2068</v>
      </c>
      <c r="L15" s="187">
        <v>3132</v>
      </c>
      <c r="M15" s="187">
        <v>345</v>
      </c>
      <c r="N15" s="187">
        <v>1172</v>
      </c>
      <c r="O15" s="185">
        <v>35</v>
      </c>
      <c r="P15" s="187">
        <v>78</v>
      </c>
      <c r="Q15" s="187">
        <v>55</v>
      </c>
      <c r="R15" s="187">
        <v>271</v>
      </c>
      <c r="S15" s="187">
        <v>1920</v>
      </c>
      <c r="T15" s="187">
        <v>2137</v>
      </c>
      <c r="U15" s="187">
        <v>1938</v>
      </c>
      <c r="V15" s="187">
        <v>2146</v>
      </c>
      <c r="W15" s="187">
        <v>335</v>
      </c>
      <c r="X15" s="193">
        <v>1050</v>
      </c>
      <c r="Y15" s="206">
        <v>0</v>
      </c>
      <c r="Z15" s="187">
        <v>0</v>
      </c>
      <c r="AA15" s="187">
        <v>0</v>
      </c>
      <c r="AB15" s="187">
        <v>0</v>
      </c>
      <c r="AC15" s="187">
        <v>1</v>
      </c>
      <c r="AD15" s="187">
        <v>0</v>
      </c>
      <c r="AE15" s="187">
        <v>1</v>
      </c>
      <c r="AF15" s="193">
        <v>0</v>
      </c>
      <c r="AG15" s="206">
        <v>0</v>
      </c>
      <c r="AH15" s="187">
        <v>0</v>
      </c>
      <c r="AI15" s="187">
        <v>0</v>
      </c>
      <c r="AJ15" s="207">
        <v>0</v>
      </c>
      <c r="AK15" s="186">
        <v>0</v>
      </c>
      <c r="AL15" s="187">
        <v>0</v>
      </c>
      <c r="AM15" s="187">
        <v>0</v>
      </c>
      <c r="AN15" s="193">
        <v>0</v>
      </c>
      <c r="AO15" s="263">
        <v>3</v>
      </c>
      <c r="AP15" s="159">
        <v>3</v>
      </c>
      <c r="AQ15" s="159">
        <v>3</v>
      </c>
      <c r="AR15" s="159">
        <v>3</v>
      </c>
      <c r="AS15" s="349" t="s">
        <v>523</v>
      </c>
      <c r="AT15" s="207" t="s">
        <v>329</v>
      </c>
      <c r="AU15" s="206"/>
      <c r="AV15" s="207"/>
      <c r="AW15" s="206"/>
      <c r="AX15" s="207"/>
      <c r="AY15" s="129">
        <f t="shared" ref="AY15:BB16" si="9">IF(ISNUMBER(IF(D_I="SI",S15,S15+AK15)),IF(D_I="SI",S15,S15+AK15)," - ")</f>
        <v>1920</v>
      </c>
      <c r="AZ15" s="130">
        <f t="shared" si="9"/>
        <v>2137</v>
      </c>
      <c r="BA15" s="130">
        <f t="shared" si="9"/>
        <v>1938</v>
      </c>
      <c r="BB15" s="130">
        <f t="shared" si="9"/>
        <v>2146</v>
      </c>
      <c r="BC15" s="126">
        <f>IF(ISNUMBER(W15),W15," - ")</f>
        <v>335</v>
      </c>
      <c r="BD15" s="127">
        <f>IF(ISNUMBER(BA15/AZ15),BA15/AZ15," - ")</f>
        <v>0.90687880205896121</v>
      </c>
      <c r="BE15" s="128">
        <f>IF(ISNUMBER(BB15/BA15),BB15/BA15, " - ")</f>
        <v>1.1073271413828689</v>
      </c>
      <c r="BF15" s="128">
        <f>IF(ISNUMBER(BC15/BA15),BC15/BA15, " - ")</f>
        <v>0.17285861713106296</v>
      </c>
      <c r="BG15" s="200">
        <f t="shared" ref="BG15:BG16" si="10">IF(ISNUMBER((AY15+AZ15)/BA15),(AY15+AZ15)/BA15," - ")</f>
        <v>2.0933952528379773</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0</v>
      </c>
      <c r="J16" s="187">
        <v>0</v>
      </c>
      <c r="K16" s="187">
        <v>0</v>
      </c>
      <c r="L16" s="187">
        <v>0</v>
      </c>
      <c r="M16" s="187">
        <v>0</v>
      </c>
      <c r="N16" s="187">
        <v>0</v>
      </c>
      <c r="O16" s="185">
        <v>0</v>
      </c>
      <c r="P16" s="187">
        <v>0</v>
      </c>
      <c r="Q16" s="187">
        <v>0</v>
      </c>
      <c r="R16" s="187">
        <v>0</v>
      </c>
      <c r="S16" s="187">
        <v>2</v>
      </c>
      <c r="T16" s="187">
        <v>0</v>
      </c>
      <c r="U16" s="187">
        <v>2</v>
      </c>
      <c r="V16" s="187">
        <v>0</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2</v>
      </c>
      <c r="AZ16" s="128">
        <f t="shared" si="9"/>
        <v>0</v>
      </c>
      <c r="BA16" s="128">
        <f t="shared" si="9"/>
        <v>2</v>
      </c>
      <c r="BB16" s="128">
        <f t="shared" si="9"/>
        <v>0</v>
      </c>
      <c r="BC16" s="126">
        <f>IF(ISNUMBER(W16),W16," - ")</f>
        <v>0</v>
      </c>
      <c r="BD16" s="127" t="str">
        <f t="shared" ref="BD16" si="11">IF(ISNUMBER(BA16/AZ16),BA16/AZ16," - ")</f>
        <v xml:space="preserve"> - </v>
      </c>
      <c r="BE16" s="128">
        <f t="shared" ref="BE16" si="12">IF(ISNUMBER(BB16/BA16),BB16/BA16, " - ")</f>
        <v>0</v>
      </c>
      <c r="BF16" s="128">
        <f t="shared" ref="BF16" si="13">IF(ISNUMBER(BC16/BA16),BC16/BA16, " - ")</f>
        <v>0</v>
      </c>
      <c r="BG16" s="200">
        <f t="shared" si="10"/>
        <v>1</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366</v>
      </c>
      <c r="J17" s="187">
        <v>408</v>
      </c>
      <c r="K17" s="187">
        <v>380</v>
      </c>
      <c r="L17" s="187">
        <v>394</v>
      </c>
      <c r="M17" s="187">
        <v>81</v>
      </c>
      <c r="N17" s="187">
        <v>161</v>
      </c>
      <c r="O17" s="187">
        <v>0</v>
      </c>
      <c r="P17" s="187">
        <v>9</v>
      </c>
      <c r="Q17" s="187">
        <v>9</v>
      </c>
      <c r="R17" s="187">
        <v>20</v>
      </c>
      <c r="S17" s="187">
        <v>216</v>
      </c>
      <c r="T17" s="187">
        <v>429</v>
      </c>
      <c r="U17" s="187">
        <v>348</v>
      </c>
      <c r="V17" s="187">
        <v>297</v>
      </c>
      <c r="W17" s="187">
        <v>54</v>
      </c>
      <c r="X17" s="193">
        <v>221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793</v>
      </c>
      <c r="AT17" s="213"/>
      <c r="AU17" s="204"/>
      <c r="AV17" s="213"/>
      <c r="AW17" s="204"/>
      <c r="AX17" s="213"/>
      <c r="AY17" s="129">
        <f t="shared" ref="AY17:BB17" si="14">IF(ISNUMBER(S17),S17," - ")</f>
        <v>216</v>
      </c>
      <c r="AZ17" s="130">
        <f t="shared" si="14"/>
        <v>429</v>
      </c>
      <c r="BA17" s="130">
        <f t="shared" si="14"/>
        <v>348</v>
      </c>
      <c r="BB17" s="130">
        <f t="shared" si="14"/>
        <v>297</v>
      </c>
      <c r="BC17" s="126">
        <f>IF(ISNUMBER(W17),W17," - ")</f>
        <v>54</v>
      </c>
      <c r="BD17" s="127">
        <f>IF(ISNUMBER(BA17/AZ17),BA17/AZ17," - ")</f>
        <v>0.81118881118881114</v>
      </c>
      <c r="BE17" s="128">
        <f>IF(ISNUMBER(BB17/BA17),BB17/BA17, " - ")</f>
        <v>0.85344827586206895</v>
      </c>
      <c r="BF17" s="128">
        <f>IF(ISNUMBER(BC17/BA17),BC17/BA17, " - ")</f>
        <v>0.15517241379310345</v>
      </c>
      <c r="BG17" s="200">
        <f>IF(ISNUMBER((AY17+AZ17)/BA17),(AY17+AZ17)/BA17," - ")</f>
        <v>1.853448275862069</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3055</v>
      </c>
      <c r="J18" s="188">
        <f t="shared" si="15"/>
        <v>2887</v>
      </c>
      <c r="K18" s="188">
        <f t="shared" si="15"/>
        <v>2448</v>
      </c>
      <c r="L18" s="188">
        <f t="shared" si="15"/>
        <v>3526</v>
      </c>
      <c r="M18" s="188">
        <f t="shared" si="15"/>
        <v>426</v>
      </c>
      <c r="N18" s="188">
        <f t="shared" si="15"/>
        <v>1333</v>
      </c>
      <c r="O18" s="188">
        <f t="shared" si="15"/>
        <v>35</v>
      </c>
      <c r="P18" s="188">
        <f t="shared" si="15"/>
        <v>87</v>
      </c>
      <c r="Q18" s="188">
        <f t="shared" si="15"/>
        <v>64</v>
      </c>
      <c r="R18" s="188">
        <f t="shared" si="15"/>
        <v>291</v>
      </c>
      <c r="S18" s="188">
        <f t="shared" si="15"/>
        <v>2138</v>
      </c>
      <c r="T18" s="188">
        <f t="shared" si="15"/>
        <v>2566</v>
      </c>
      <c r="U18" s="188">
        <f t="shared" si="15"/>
        <v>2288</v>
      </c>
      <c r="V18" s="188">
        <f t="shared" si="15"/>
        <v>2443</v>
      </c>
      <c r="W18" s="188">
        <f t="shared" si="15"/>
        <v>389</v>
      </c>
      <c r="X18" s="188">
        <f t="shared" si="15"/>
        <v>1271</v>
      </c>
      <c r="Y18" s="188">
        <f t="shared" si="15"/>
        <v>0</v>
      </c>
      <c r="Z18" s="188">
        <f t="shared" si="15"/>
        <v>0</v>
      </c>
      <c r="AA18" s="188">
        <f t="shared" si="15"/>
        <v>0</v>
      </c>
      <c r="AB18" s="188">
        <f t="shared" si="15"/>
        <v>0</v>
      </c>
      <c r="AC18" s="188">
        <f t="shared" si="15"/>
        <v>1</v>
      </c>
      <c r="AD18" s="188">
        <f t="shared" si="15"/>
        <v>0</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4</v>
      </c>
      <c r="AQ18" s="188">
        <f t="shared" si="15"/>
        <v>4</v>
      </c>
      <c r="AR18" s="188">
        <f t="shared" si="15"/>
        <v>4</v>
      </c>
      <c r="AS18" s="188">
        <f t="shared" si="15"/>
        <v>0</v>
      </c>
      <c r="AT18" s="188">
        <f t="shared" si="15"/>
        <v>0</v>
      </c>
      <c r="AU18" s="208"/>
      <c r="AV18" s="133"/>
      <c r="AW18" s="208"/>
      <c r="AX18" s="133"/>
      <c r="AY18" s="188">
        <f>SUBTOTAL(9,AY14:AY17)</f>
        <v>2138</v>
      </c>
      <c r="AZ18" s="188">
        <f>SUBTOTAL(9,AZ14:AZ17)</f>
        <v>2566</v>
      </c>
      <c r="BA18" s="188">
        <f>SUBTOTAL(9,BA14:BA17)</f>
        <v>2288</v>
      </c>
      <c r="BB18" s="188">
        <f>SUBTOTAL(9,BB14:BB17)</f>
        <v>2443</v>
      </c>
      <c r="BC18" s="188">
        <f>SUBTOTAL(9,BC14:BC17)</f>
        <v>389</v>
      </c>
      <c r="BD18" s="209">
        <f>IF(ISNUMBER(BA18/AZ18),BA18/AZ18," - ")</f>
        <v>0.89166017147310994</v>
      </c>
      <c r="BE18" s="210">
        <f>IF(ISNUMBER(BB18/BA18),BB18/BA18, " - ")</f>
        <v>1.0677447552447552</v>
      </c>
      <c r="BF18" s="210">
        <f>IF(ISNUMBER(BC18/BA18),BC18/BA18, " - ")</f>
        <v>0.17001748251748253</v>
      </c>
      <c r="BG18" s="211">
        <f>IF(ISNUMBER((AY18+AZ18)/BA18),(AY18+AZ18)/BA18," - ")</f>
        <v>2.0559440559440558</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12039</v>
      </c>
      <c r="J19" s="135">
        <f t="shared" si="18"/>
        <v>5225</v>
      </c>
      <c r="K19" s="135">
        <f t="shared" si="18"/>
        <v>3764</v>
      </c>
      <c r="L19" s="135">
        <f t="shared" si="18"/>
        <v>13532</v>
      </c>
      <c r="M19" s="135">
        <f t="shared" si="18"/>
        <v>713</v>
      </c>
      <c r="N19" s="135">
        <f t="shared" si="18"/>
        <v>1979</v>
      </c>
      <c r="O19" s="135">
        <f t="shared" si="18"/>
        <v>882</v>
      </c>
      <c r="P19" s="135">
        <f t="shared" si="18"/>
        <v>621</v>
      </c>
      <c r="Q19" s="135">
        <f t="shared" si="18"/>
        <v>720</v>
      </c>
      <c r="R19" s="135">
        <f t="shared" si="18"/>
        <v>15330</v>
      </c>
      <c r="S19" s="135">
        <f t="shared" si="18"/>
        <v>8820</v>
      </c>
      <c r="T19" s="135">
        <f t="shared" si="18"/>
        <v>4571</v>
      </c>
      <c r="U19" s="135">
        <f t="shared" si="18"/>
        <v>3818</v>
      </c>
      <c r="V19" s="135">
        <f t="shared" si="18"/>
        <v>9600</v>
      </c>
      <c r="W19" s="135">
        <f t="shared" si="18"/>
        <v>709</v>
      </c>
      <c r="X19" s="135">
        <f t="shared" si="18"/>
        <v>2028</v>
      </c>
      <c r="Y19" s="135">
        <f t="shared" si="18"/>
        <v>364</v>
      </c>
      <c r="Z19" s="135">
        <f t="shared" si="18"/>
        <v>190</v>
      </c>
      <c r="AA19" s="135">
        <f t="shared" si="18"/>
        <v>192</v>
      </c>
      <c r="AB19" s="135">
        <f t="shared" si="18"/>
        <v>362</v>
      </c>
      <c r="AC19" s="135">
        <f t="shared" si="18"/>
        <v>1</v>
      </c>
      <c r="AD19" s="135">
        <f t="shared" si="18"/>
        <v>0</v>
      </c>
      <c r="AE19" s="135">
        <f t="shared" si="18"/>
        <v>1</v>
      </c>
      <c r="AF19" s="135">
        <f t="shared" si="18"/>
        <v>0</v>
      </c>
      <c r="AG19" s="135">
        <f t="shared" si="18"/>
        <v>351</v>
      </c>
      <c r="AH19" s="135">
        <f t="shared" si="18"/>
        <v>211</v>
      </c>
      <c r="AI19" s="135">
        <f t="shared" si="18"/>
        <v>181</v>
      </c>
      <c r="AJ19" s="135">
        <f t="shared" si="18"/>
        <v>381</v>
      </c>
      <c r="AK19" s="135">
        <f t="shared" si="18"/>
        <v>0</v>
      </c>
      <c r="AL19" s="135">
        <f t="shared" si="18"/>
        <v>0</v>
      </c>
      <c r="AM19" s="135">
        <f t="shared" si="18"/>
        <v>0</v>
      </c>
      <c r="AN19" s="214">
        <f t="shared" si="18"/>
        <v>0</v>
      </c>
      <c r="AO19" s="215">
        <v>10</v>
      </c>
      <c r="AP19" s="215">
        <v>10</v>
      </c>
      <c r="AQ19" s="215">
        <v>10</v>
      </c>
      <c r="AR19" s="215">
        <v>10</v>
      </c>
      <c r="AS19" s="157">
        <f t="shared" si="18"/>
        <v>0</v>
      </c>
      <c r="AT19" s="157">
        <f t="shared" si="18"/>
        <v>0</v>
      </c>
      <c r="AU19" s="215"/>
      <c r="AV19" s="216"/>
      <c r="AW19" s="215"/>
      <c r="AX19" s="216"/>
      <c r="AY19" s="134">
        <f>SUBTOTAL(9,AY9:AY18)</f>
        <v>9171</v>
      </c>
      <c r="AZ19" s="135">
        <f>SUBTOTAL(9,AZ9:AZ18)</f>
        <v>4782</v>
      </c>
      <c r="BA19" s="135">
        <f>SUBTOTAL(9,BA9:BA18)</f>
        <v>3999</v>
      </c>
      <c r="BB19" s="135">
        <f>SUBTOTAL(9,BB9:BB18)</f>
        <v>9981</v>
      </c>
      <c r="BC19" s="136">
        <f>SUBTOTAL(9,BC9:BC18)</f>
        <v>1142</v>
      </c>
      <c r="BD19" s="217">
        <f>IF(ISNUMBER(BA19/AZ19),BA19/AZ19," - ")</f>
        <v>0.83626097867001259</v>
      </c>
      <c r="BE19" s="214">
        <f>IF(ISNUMBER(BB19/BA19),BB19/BA19, " - ")</f>
        <v>2.495873968492123</v>
      </c>
      <c r="BF19" s="214">
        <f>IF(ISNUMBER(BC19/BA19),BC19/BA19, " - ")</f>
        <v>0.28557139284821204</v>
      </c>
      <c r="BG19" s="136">
        <f>IF(ISNUMBER((AY19+AZ19)/BA19),(AY19+AZ19)/BA19," - ")</f>
        <v>3.4891222805701427</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flKKiq93K+O5yNOp6dA10XAZfbu7SVtlD06OtpUCTEHhXRO1Wy20rOTxt0BXFkY7Lf4BuXPi+pO2aRp9jrHqw==" saltValue="+CzLkHVcbNvTAhnwEB+QT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480</v>
      </c>
      <c r="DM5" s="1551" t="s">
        <v>526</v>
      </c>
      <c r="DN5" s="1551" t="s">
        <v>527</v>
      </c>
      <c r="DO5" s="1551" t="s">
        <v>528</v>
      </c>
      <c r="DP5" s="1551" t="s">
        <v>529</v>
      </c>
      <c r="DQ5" s="1551" t="s">
        <v>530</v>
      </c>
      <c r="DR5" s="1551" t="s">
        <v>531</v>
      </c>
      <c r="DS5" s="1551" t="s">
        <v>532</v>
      </c>
      <c r="DT5" s="1551" t="s">
        <v>533</v>
      </c>
      <c r="DU5" s="1530" t="s">
        <v>534</v>
      </c>
      <c r="DV5" s="1530" t="s">
        <v>535</v>
      </c>
      <c r="DW5" s="1527" t="s">
        <v>536</v>
      </c>
      <c r="DX5" s="1551" t="s">
        <v>537</v>
      </c>
      <c r="DY5" s="1524" t="s">
        <v>538</v>
      </c>
      <c r="DZ5" s="1527" t="s">
        <v>539</v>
      </c>
      <c r="EA5" s="1524" t="s">
        <v>540</v>
      </c>
      <c r="EB5" s="1558" t="s">
        <v>584</v>
      </c>
      <c r="EC5" s="1558" t="s">
        <v>616</v>
      </c>
      <c r="ED5" s="1558" t="s">
        <v>586</v>
      </c>
      <c r="EE5" s="1558" t="s">
        <v>619</v>
      </c>
      <c r="EF5" s="1558" t="s">
        <v>620</v>
      </c>
      <c r="EG5" s="1524" t="s">
        <v>621</v>
      </c>
      <c r="EH5" s="1524" t="s">
        <v>622</v>
      </c>
      <c r="EI5" s="1524" t="s">
        <v>588</v>
      </c>
      <c r="EJ5" s="1524" t="s">
        <v>589</v>
      </c>
      <c r="EK5" s="1653" t="s">
        <v>670</v>
      </c>
      <c r="EL5" s="1542" t="s">
        <v>686</v>
      </c>
      <c r="EM5" s="1543"/>
      <c r="EN5" s="1544"/>
      <c r="EO5" s="1536" t="s">
        <v>744</v>
      </c>
      <c r="EP5" s="1536" t="s">
        <v>746</v>
      </c>
      <c r="EQ5" s="1536" t="s">
        <v>747</v>
      </c>
      <c r="ER5" s="1536" t="s">
        <v>752</v>
      </c>
      <c r="ES5" s="1536" t="s">
        <v>757</v>
      </c>
      <c r="ET5" s="1533" t="s">
        <v>824</v>
      </c>
      <c r="EU5" s="1533" t="s">
        <v>825</v>
      </c>
      <c r="EV5" s="1564" t="s">
        <v>841</v>
      </c>
      <c r="EW5" s="1524" t="s">
        <v>844</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743</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687</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863</v>
      </c>
      <c r="EY8" s="487" t="s">
        <v>876</v>
      </c>
    </row>
    <row r="9" spans="1:155" s="693" customFormat="1" ht="14.25" customHeight="1">
      <c r="A9" s="721" t="s">
        <v>45</v>
      </c>
      <c r="B9" s="675" t="s">
        <v>406</v>
      </c>
      <c r="C9" s="676" t="s">
        <v>3</v>
      </c>
      <c r="D9" s="677" t="s">
        <v>20</v>
      </c>
      <c r="E9" s="675" t="s">
        <v>21</v>
      </c>
      <c r="F9" s="675">
        <v>32</v>
      </c>
      <c r="G9" s="678"/>
      <c r="H9" s="722" t="s">
        <v>248</v>
      </c>
      <c r="I9" s="723" t="s">
        <v>867</v>
      </c>
      <c r="J9" s="680" t="s">
        <v>869</v>
      </c>
      <c r="K9" s="680" t="s">
        <v>871</v>
      </c>
      <c r="L9" s="680" t="s">
        <v>873</v>
      </c>
      <c r="M9" s="680" t="s">
        <v>875</v>
      </c>
      <c r="N9" s="680" t="s">
        <v>878</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884</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891</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885</v>
      </c>
      <c r="DC9" s="729" t="s">
        <v>886</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887</v>
      </c>
      <c r="EP9" s="1135" t="s">
        <v>894</v>
      </c>
      <c r="EQ9" s="1135" t="s">
        <v>896</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893</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879</v>
      </c>
      <c r="DC11" s="334" t="s">
        <v>880</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888</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868</v>
      </c>
      <c r="J12" s="321" t="s">
        <v>870</v>
      </c>
      <c r="K12" s="321" t="s">
        <v>872</v>
      </c>
      <c r="L12" s="321" t="s">
        <v>874</v>
      </c>
      <c r="M12" s="321" t="s">
        <v>866</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881</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892</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882</v>
      </c>
      <c r="DC12" s="729" t="s">
        <v>883</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890</v>
      </c>
      <c r="EP12" s="1135" t="s">
        <v>895</v>
      </c>
      <c r="EQ12" s="1135" t="s">
        <v>897</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DmVcU+RHg8HB7fguSUTYvjDxqkfmLoI3sW7qAaoPAc20nkXB9vRWRVG7Dg0Wtu09m+zwxij5wYnhnsbx2PFjg==" saltValue="66up+MvYdYUgFR+2oz37+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ORIHUELA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665</v>
      </c>
      <c r="L5" s="1659" t="s">
        <v>558</v>
      </c>
      <c r="M5" s="1659" t="s">
        <v>526</v>
      </c>
      <c r="N5" s="1659" t="s">
        <v>666</v>
      </c>
      <c r="O5" s="1691" t="s">
        <v>584</v>
      </c>
      <c r="P5" s="1659" t="s">
        <v>684</v>
      </c>
      <c r="Q5" s="1659" t="s">
        <v>679</v>
      </c>
      <c r="R5" s="1659" t="s">
        <v>170</v>
      </c>
      <c r="S5" s="1694" t="s">
        <v>676</v>
      </c>
      <c r="T5" s="1694" t="s">
        <v>678</v>
      </c>
      <c r="U5" s="1659" t="s">
        <v>587</v>
      </c>
      <c r="V5" s="1694" t="s">
        <v>559</v>
      </c>
      <c r="W5" s="1659" t="s">
        <v>771</v>
      </c>
      <c r="X5" s="1659" t="s">
        <v>772</v>
      </c>
      <c r="Y5" s="1662" t="s">
        <v>667</v>
      </c>
      <c r="Z5" s="1677" t="s">
        <v>609</v>
      </c>
      <c r="AA5" s="1680" t="s">
        <v>560</v>
      </c>
      <c r="AB5" s="1677" t="s">
        <v>561</v>
      </c>
      <c r="AC5" s="1677" t="s">
        <v>562</v>
      </c>
      <c r="AD5" s="1656" t="s">
        <v>668</v>
      </c>
      <c r="AE5" s="1656" t="s">
        <v>799</v>
      </c>
      <c r="AF5" s="1659" t="s">
        <v>680</v>
      </c>
      <c r="AG5" s="1659" t="s">
        <v>527</v>
      </c>
      <c r="AH5" s="1659" t="s">
        <v>669</v>
      </c>
      <c r="AI5" s="1659" t="s">
        <v>181</v>
      </c>
      <c r="AJ5" s="1659" t="s">
        <v>734</v>
      </c>
      <c r="AK5" s="1659" t="s">
        <v>528</v>
      </c>
      <c r="AL5" s="1659" t="s">
        <v>529</v>
      </c>
      <c r="AM5" s="1659" t="s">
        <v>685</v>
      </c>
      <c r="AN5" s="1659" t="s">
        <v>530</v>
      </c>
      <c r="AO5" s="1659" t="s">
        <v>531</v>
      </c>
      <c r="AP5" s="1659" t="s">
        <v>532</v>
      </c>
      <c r="AQ5" s="1659" t="s">
        <v>533</v>
      </c>
      <c r="AR5" s="1659" t="s">
        <v>670</v>
      </c>
      <c r="AS5" s="1659" t="s">
        <v>184</v>
      </c>
      <c r="AT5" s="1665" t="s">
        <v>182</v>
      </c>
      <c r="AU5" s="1659" t="s">
        <v>681</v>
      </c>
      <c r="AV5" s="1668" t="s">
        <v>682</v>
      </c>
      <c r="AW5" s="1671" t="s">
        <v>535</v>
      </c>
      <c r="AX5" s="1659" t="s">
        <v>536</v>
      </c>
      <c r="AY5" s="1659" t="s">
        <v>607</v>
      </c>
      <c r="AZ5" s="1674" t="s">
        <v>608</v>
      </c>
      <c r="BA5" s="1659" t="s">
        <v>564</v>
      </c>
      <c r="BB5" s="1668" t="s">
        <v>565</v>
      </c>
      <c r="BC5" s="1671" t="s">
        <v>185</v>
      </c>
      <c r="BD5" s="1659" t="s">
        <v>566</v>
      </c>
      <c r="BE5" s="1659" t="s">
        <v>250</v>
      </c>
      <c r="BF5" s="1659" t="s">
        <v>251</v>
      </c>
      <c r="BG5" s="1659" t="s">
        <v>252</v>
      </c>
      <c r="BH5" s="1659" t="s">
        <v>567</v>
      </c>
      <c r="BI5" s="1659" t="s">
        <v>253</v>
      </c>
      <c r="BJ5" s="1659" t="s">
        <v>568</v>
      </c>
      <c r="BK5" s="1659" t="s">
        <v>582</v>
      </c>
      <c r="BL5" s="1659" t="s">
        <v>569</v>
      </c>
      <c r="BM5" s="1659" t="s">
        <v>570</v>
      </c>
      <c r="BN5" s="1659" t="s">
        <v>595</v>
      </c>
      <c r="BO5" s="1659" t="s">
        <v>588</v>
      </c>
      <c r="BP5" s="1659" t="s">
        <v>842</v>
      </c>
      <c r="BQ5" s="1659" t="s">
        <v>845</v>
      </c>
      <c r="BR5" s="1659" t="s">
        <v>847</v>
      </c>
      <c r="BS5" s="1659" t="s">
        <v>589</v>
      </c>
      <c r="BT5" s="1659" t="s">
        <v>571</v>
      </c>
      <c r="BU5" s="1659" t="s">
        <v>534</v>
      </c>
      <c r="BV5" s="1683" t="s">
        <v>773</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190</v>
      </c>
      <c r="O9" s="503"/>
      <c r="P9" s="503"/>
      <c r="Q9" s="501">
        <f>IF(ISNUMBER(Datos!P9),Datos!P9,0)</f>
        <v>528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573</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362</v>
      </c>
      <c r="AI9" s="503" t="str">
        <f>IF(ISNUMBER(Datos!CD9),Datos!CD9,"-")</f>
        <v>-</v>
      </c>
      <c r="AJ9" s="503" t="str">
        <f>IF(ISNUMBER(Datos!EN9),Datos!EN9," - ")</f>
        <v xml:space="preserve"> - </v>
      </c>
      <c r="AK9" s="503"/>
      <c r="AL9" s="504"/>
      <c r="AM9" s="671">
        <f>IF(ISNUMBER(Datos!R9),Datos!R9," - ")</f>
        <v>14917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278</v>
      </c>
      <c r="BD9" s="619">
        <f>IF(ISNUMBER(Datos!N9),Datos!N9," - ")</f>
        <v>641</v>
      </c>
      <c r="BE9" s="619" t="str">
        <f>IF(ISNUMBER(Datos!BW9),Datos!BW9," - ")</f>
        <v xml:space="preserve"> - </v>
      </c>
      <c r="BF9" s="667" t="str">
        <f>IF(ISNUMBER(Datos!BX9),Datos!BX9," - ")</f>
        <v xml:space="preserve"> - </v>
      </c>
      <c r="BG9" s="668">
        <f>IF(ISNUMBER(IF(J_V="SI",Datos!K9/Datos!J9,(Datos!K9+Datos!AA9)/(Datos!J9+Datos!Z9))),IF(J_V="SI",Datos!K9/Datos!J9,(Datos!K9+Datos!AA9)/(Datos!J9+Datos!Z9))," - ")</f>
        <v>0.59457302474062246</v>
      </c>
      <c r="BH9" s="669">
        <f>IF(ISNUMBER(((IF(J_V="SI",Datos!L9/Datos!K9,(Datos!L9+Datos!AB9)/(Datos!K9+Datos!AA9)))*11)/factor_trimestre),((IF(J_V="SI",Datos!L9/Datos!K9,(Datos!L9+Datos!AB9)/(Datos!K9+Datos!AA9)))*11)/factor_trimestre," - ")</f>
        <v>13.634899328859062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-3.0076193022323221E-3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206</v>
      </c>
      <c r="G10" s="497">
        <f>IF(ISNUMBER(Datos!I10),Datos!I10," - ")</f>
        <v>206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18</v>
      </c>
      <c r="AC10" s="501">
        <f>IF(ISNUMBER(Datos!Q10),Datos!Q10," - ")</f>
        <v>83</v>
      </c>
      <c r="AD10" s="503"/>
      <c r="AE10" s="516"/>
      <c r="AF10" s="505">
        <f>IF(ISNUMBER(Datos!L10),Datos!L10,"-")</f>
        <v>210</v>
      </c>
      <c r="AG10" s="503"/>
      <c r="AH10" s="503"/>
      <c r="AI10" s="503"/>
      <c r="AJ10" s="503"/>
      <c r="AK10" s="503"/>
      <c r="AL10" s="504"/>
      <c r="AM10" s="671">
        <f>IF(ISNUMBER(Datos!R10),Datos!R10," - ")</f>
        <v>122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5</v>
      </c>
      <c r="BE10" s="619" t="str">
        <f>IF(ISNUMBER(Datos!BW10),Datos!BW10," - ")</f>
        <v xml:space="preserve"> - </v>
      </c>
      <c r="BF10" s="667" t="str">
        <f>IF(ISNUMBER(Datos!BX10),Datos!BX10," - ")</f>
        <v xml:space="preserve"> - </v>
      </c>
      <c r="BG10" s="668">
        <f>IF(ISNUMBER(Datos!K10/Datos!J10),Datos!K10/Datos!J10," - ")</f>
        <v>0.81818181818181823</v>
      </c>
      <c r="BH10" s="669">
        <f>IF(ISNUMBER(((Datos!L10/Datos!K10)*11)/factor_trimestre),((Datos!L10/Datos!K10)*11)/factor_trimestre," - ")</f>
        <v>23.333333333333329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-0.38693467336683418</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206</v>
      </c>
      <c r="G13" s="1044">
        <f t="shared" si="0"/>
        <v>206</v>
      </c>
      <c r="H13" s="1045">
        <f t="shared" si="0"/>
        <v>0</v>
      </c>
      <c r="I13" s="1044">
        <f t="shared" si="0"/>
        <v>0</v>
      </c>
      <c r="J13" s="1013">
        <f t="shared" si="0"/>
        <v>0</v>
      </c>
      <c r="K13" s="1013">
        <f t="shared" si="0"/>
        <v>0</v>
      </c>
      <c r="L13" s="1045">
        <f t="shared" si="0"/>
        <v>0</v>
      </c>
      <c r="M13" s="1045">
        <f t="shared" si="0"/>
        <v>0</v>
      </c>
      <c r="N13" s="1045">
        <f t="shared" si="0"/>
        <v>190</v>
      </c>
      <c r="O13" s="1046">
        <f t="shared" si="0"/>
        <v>0</v>
      </c>
      <c r="P13" s="1046">
        <f t="shared" si="0"/>
        <v>0</v>
      </c>
      <c r="Q13" s="1045">
        <f t="shared" si="0"/>
        <v>534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18</v>
      </c>
      <c r="AC13" s="1045">
        <f t="shared" si="1"/>
        <v>656</v>
      </c>
      <c r="AD13" s="1045">
        <f t="shared" si="1"/>
        <v>0</v>
      </c>
      <c r="AE13" s="1045">
        <f t="shared" si="1"/>
        <v>0</v>
      </c>
      <c r="AF13" s="1045">
        <f t="shared" si="1"/>
        <v>210</v>
      </c>
      <c r="AG13" s="1045">
        <f t="shared" si="1"/>
        <v>0</v>
      </c>
      <c r="AH13" s="1045">
        <f t="shared" si="1"/>
        <v>362</v>
      </c>
      <c r="AI13" s="1045">
        <f t="shared" si="1"/>
        <v>0</v>
      </c>
      <c r="AJ13" s="1045">
        <f t="shared" si="1"/>
        <v>0</v>
      </c>
      <c r="AK13" s="1045">
        <f t="shared" si="1"/>
        <v>0</v>
      </c>
      <c r="AL13" s="1045">
        <f t="shared" si="1"/>
        <v>0</v>
      </c>
      <c r="AM13" s="1045">
        <f t="shared" si="1"/>
        <v>15039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287</v>
      </c>
      <c r="BD13" s="1045">
        <f t="shared" si="1"/>
        <v>646</v>
      </c>
      <c r="BE13" s="1045">
        <f t="shared" si="1"/>
        <v>0</v>
      </c>
      <c r="BF13" s="1045">
        <f t="shared" si="1"/>
        <v>0</v>
      </c>
      <c r="BG13" s="1045">
        <f>IF(ISNUMBER(Datos!K13/Datos!J13),Datos!K13/Datos!J13," - ")</f>
        <v>0.56287425149700598</v>
      </c>
      <c r="BH13" s="1049">
        <f>IF(ISNUMBER(((Datos!L13/Datos!K13)*11)/factor_trimestre),((Datos!L13/Datos!K13)*11)/factor_trimestre," - ")</f>
        <v>15.206686930091188</v>
      </c>
      <c r="BI13" s="1045">
        <f>IF(ISNUMBER('Resol  Asuntos'!D13/NºAsuntos!G13),'Resol  Asuntos'!D13/NºAsuntos!G13," - ")</f>
        <v>0.19031830238726791</v>
      </c>
      <c r="BJ13" s="1045" t="str">
        <f>IF(ISNUMBER(Datos!CI13/Datos!CJ13),Datos!CI13/Datos!CJ13," - ")</f>
        <v xml:space="preserve"> - </v>
      </c>
      <c r="BK13" s="1045">
        <f>SUBTOTAL(9,BK8:BK12)</f>
        <v>0</v>
      </c>
      <c r="BL13" s="1045">
        <f>IF(ISNUMBER((I13-AB13+L13)/(F13)),(I13-AB13+L13)/(F13)," - ")</f>
        <v>-8.7378640776699032E-2</v>
      </c>
      <c r="BM13" s="1050">
        <f>SUBTOTAL(9,BM9:BM12)</f>
        <v>-0.38994229266906649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2721</v>
      </c>
      <c r="G15" s="650">
        <f>IF(ISNUMBER(IF(D_I="SI",Datos!I15,Datos!I15+Datos!AC15)),IF(D_I="SI",Datos!I15,Datos!I15+Datos!AC15)," - ")</f>
        <v>2689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78</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2068</v>
      </c>
      <c r="AC15" s="230">
        <f>IF(ISNUMBER(Datos!Q15),Datos!Q15," - ")</f>
        <v>55</v>
      </c>
      <c r="AD15" s="343"/>
      <c r="AE15" s="515"/>
      <c r="AF15" s="648">
        <f>IF(ISNUMBER(IF(D_I="SI",Datos!L15,Datos!L15+Datos!AF15)),IF(D_I="SI",Datos!L15,Datos!L15+Datos!AF15)," - ")</f>
        <v>3132</v>
      </c>
      <c r="AG15" s="343"/>
      <c r="AH15" s="343"/>
      <c r="AI15" s="343"/>
      <c r="AJ15" s="503"/>
      <c r="AK15" s="343"/>
      <c r="AL15" s="499"/>
      <c r="AM15" s="344">
        <f>IF(ISNUMBER(Datos!R15),Datos!R15," - ")</f>
        <v>271</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345</v>
      </c>
      <c r="BD15" s="233">
        <f>IF(ISNUMBER(Datos!N15),Datos!N15," - ")</f>
        <v>1172</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0.83420734167002819</v>
      </c>
      <c r="BH15" s="669">
        <f>IF(ISNUMBER(((IF(D_I="SI",Datos!L15/Datos!K15,(Datos!L15+Datos!AF15)/(Datos!K15+Datos!AE15)))*11)/factor_trimestre),((IF(D_I="SI",Datos!L15/Datos!K15,(Datos!L15+Datos!AF15)/(Datos!K15+Datos!AE15)))*11)/factor_trimestre," - ")</f>
        <v>3.029013539651837</v>
      </c>
      <c r="BI15" s="247">
        <f>IF(ISNUMBER('Resol  Asuntos'!D15/NºAsuntos!G15),'Resol  Asuntos'!D15/NºAsuntos!G15," - ")</f>
        <v>0.16682785299806577</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0</v>
      </c>
      <c r="G16" s="650">
        <f>IF(ISNUMBER(IF(D_I="SI",Datos!I16,Datos!I16+Datos!AC16)),IF(D_I="SI",Datos!I16,Datos!I16+Datos!AC16)," - ")</f>
        <v>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0</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366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9</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380</v>
      </c>
      <c r="AC17" s="501">
        <f>IF(ISNUMBER(Datos!Q17),Datos!Q17," - ")</f>
        <v>9</v>
      </c>
      <c r="AD17" s="503"/>
      <c r="AE17" s="515"/>
      <c r="AF17" s="505">
        <f>IF(ISNUMBER(Datos!L17),Datos!L17,"-")</f>
        <v>394</v>
      </c>
      <c r="AG17" s="503"/>
      <c r="AH17" s="503"/>
      <c r="AI17" s="503"/>
      <c r="AJ17" s="503"/>
      <c r="AK17" s="503"/>
      <c r="AL17" s="504"/>
      <c r="AM17" s="671">
        <f>IF(ISNUMBER(Datos!R17),Datos!R17," - ")</f>
        <v>20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81</v>
      </c>
      <c r="BD17" s="619">
        <f>IF(ISNUMBER(Datos!N17),Datos!N17," - ")</f>
        <v>161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0.93137254901960786</v>
      </c>
      <c r="BH17" s="669">
        <f>IF(ISNUMBER(((IF(D_I="SI",Datos!L17/Datos!K17,(Datos!L17+Datos!AF17)/(Datos!K17+Datos!AE17)))*11)/factor_trimestre),((IF(D_I="SI",Datos!L17/Datos!K17,(Datos!L17+Datos!AF17)/(Datos!K17+Datos!AE17)))*11)/factor_trimestre," - ")</f>
        <v>2.0736842105263156</v>
      </c>
      <c r="BI17" s="668">
        <f>IF(ISNUMBER('Resol  Asuntos'!D17/NºAsuntos!G17),'Resol  Asuntos'!D17/NºAsuntos!G17," - ")</f>
        <v>0.2131578947368421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2721</v>
      </c>
      <c r="G18" s="1044">
        <f>SUBTOTAL(9,G15:G17)</f>
        <v>3055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2448</v>
      </c>
      <c r="AC18" s="1045">
        <f t="shared" si="4"/>
        <v>64</v>
      </c>
      <c r="AD18" s="1045">
        <f t="shared" si="4"/>
        <v>0</v>
      </c>
      <c r="AE18" s="1045">
        <f t="shared" si="4"/>
        <v>0</v>
      </c>
      <c r="AF18" s="1045">
        <f t="shared" si="4"/>
        <v>3526</v>
      </c>
      <c r="AG18" s="1045">
        <f t="shared" si="4"/>
        <v>0</v>
      </c>
      <c r="AH18" s="1045">
        <f t="shared" si="4"/>
        <v>0</v>
      </c>
      <c r="AI18" s="1045">
        <f t="shared" si="4"/>
        <v>0</v>
      </c>
      <c r="AJ18" s="1045">
        <f t="shared" si="4"/>
        <v>0</v>
      </c>
      <c r="AK18" s="1045">
        <f t="shared" si="4"/>
        <v>0</v>
      </c>
      <c r="AL18" s="1045">
        <f t="shared" si="4"/>
        <v>0</v>
      </c>
      <c r="AM18" s="1045">
        <f t="shared" si="4"/>
        <v>291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426</v>
      </c>
      <c r="BD18" s="1045">
        <f t="shared" si="4"/>
        <v>1333</v>
      </c>
      <c r="BE18" s="1045">
        <f t="shared" si="4"/>
        <v>0</v>
      </c>
      <c r="BF18" s="1045">
        <f t="shared" si="4"/>
        <v>0</v>
      </c>
      <c r="BG18" s="1045">
        <f>IF(ISNUMBER(Datos!K18/Datos!J18),Datos!K18/Datos!J18," - ")</f>
        <v>0.8479390370626948</v>
      </c>
      <c r="BH18" s="1049">
        <f>IF(ISNUMBER(((Datos!L18/Datos!K18)*11)/factor_trimestre),((Datos!L18/Datos!K18)*11)/factor_trimestre," - ")</f>
        <v>2.880718954248366</v>
      </c>
      <c r="BI18" s="1045">
        <f>SUBTOTAL(9,BI15:BI17)</f>
        <v>0.3799857477349079</v>
      </c>
      <c r="BJ18" s="1045">
        <f>SUBTOTAL(9,BJ15:BJ17)</f>
        <v>0</v>
      </c>
      <c r="BK18" s="1045">
        <f>SUBTOTAL(9,BK15:BK17)</f>
        <v>0</v>
      </c>
      <c r="BL18" s="1045">
        <f>IF(ISNUMBER((I18-AB18+L18)/(F18)),(I18-AB18+L18)/(F18)," - ")</f>
        <v>-0.89966923925027564</v>
      </c>
      <c r="BM18" s="1051">
        <f>IF(ISNUMBER((Datos!P18-Datos!Q18)/(Datos!R18-Datos!P18+Datos!Q18)),(Datos!P18-Datos!Q18)/(Datos!R18-Datos!P18+Datos!Q18)," - ")</f>
        <v>8.5820895522388058E-2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11</v>
      </c>
      <c r="F19" s="966">
        <f t="shared" si="6"/>
        <v>2927</v>
      </c>
      <c r="G19" s="966">
        <f t="shared" si="6"/>
        <v>3261</v>
      </c>
      <c r="H19" s="968">
        <f t="shared" si="6"/>
        <v>0</v>
      </c>
      <c r="I19" s="966">
        <f t="shared" si="6"/>
        <v>0</v>
      </c>
      <c r="J19" s="968">
        <f t="shared" si="6"/>
        <v>0</v>
      </c>
      <c r="K19" s="968">
        <f t="shared" si="6"/>
        <v>0</v>
      </c>
      <c r="L19" s="1027">
        <f t="shared" si="6"/>
        <v>0</v>
      </c>
      <c r="M19" s="1027">
        <f t="shared" si="6"/>
        <v>0</v>
      </c>
      <c r="N19" s="1027">
        <f t="shared" si="6"/>
        <v>190</v>
      </c>
      <c r="O19" s="1027">
        <f t="shared" si="6"/>
        <v>0</v>
      </c>
      <c r="P19" s="1027">
        <f t="shared" si="6"/>
        <v>0</v>
      </c>
      <c r="Q19" s="968">
        <f t="shared" si="6"/>
        <v>621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2466</v>
      </c>
      <c r="AC19" s="967">
        <f t="shared" si="7"/>
        <v>720</v>
      </c>
      <c r="AD19" s="967">
        <f t="shared" si="7"/>
        <v>0</v>
      </c>
      <c r="AE19" s="967">
        <f t="shared" si="7"/>
        <v>0</v>
      </c>
      <c r="AF19" s="974">
        <f t="shared" si="7"/>
        <v>3736</v>
      </c>
      <c r="AG19" s="974">
        <f t="shared" si="7"/>
        <v>0</v>
      </c>
      <c r="AH19" s="974">
        <f t="shared" si="7"/>
        <v>362</v>
      </c>
      <c r="AI19" s="974">
        <f t="shared" si="7"/>
        <v>0</v>
      </c>
      <c r="AJ19" s="967">
        <f t="shared" si="7"/>
        <v>0</v>
      </c>
      <c r="AK19" s="974">
        <f t="shared" si="7"/>
        <v>0</v>
      </c>
      <c r="AL19" s="974">
        <f t="shared" si="7"/>
        <v>0</v>
      </c>
      <c r="AM19" s="974">
        <f t="shared" si="7"/>
        <v>15330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713</v>
      </c>
      <c r="BD19" s="966">
        <f t="shared" si="7"/>
        <v>1979</v>
      </c>
      <c r="BE19" s="966">
        <f t="shared" si="7"/>
        <v>0</v>
      </c>
      <c r="BF19" s="976">
        <f t="shared" si="7"/>
        <v>0</v>
      </c>
      <c r="BG19" s="1061">
        <f>IF(ISNUMBER(Datos!K19/Datos!J19),Datos!K19/Datos!J19," - ")</f>
        <v>0.72038277511961724</v>
      </c>
      <c r="BH19" s="1061">
        <f>IF(ISNUMBER(((Datos!L19/Datos!K19)*11)/factor_trimestre),((Datos!L19/Datos!K19)*11)/factor_trimestre," - ")</f>
        <v>7.1902231668437828</v>
      </c>
      <c r="BI19" s="959">
        <f>IF(ISNUMBER(Datos!J19/Datos!I19),Datos!J19/Datos!I19," - ")</f>
        <v>0.43400614668992443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-0.84250085411684317</v>
      </c>
      <c r="BM19" s="1035">
        <f>IF(ISNUMBER((Datos!P19-Datos!Q19+R19)/(Datos!R19-Datos!P19+Datos!Q19-R19)),(Datos!P19-Datos!Q19+R19)/(Datos!R19-Datos!P19+Datos!Q19-R19)," - ")</f>
        <v>-6.4164884308769198E-3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1087</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2.6977356760397742</v>
      </c>
      <c r="F21" s="599">
        <f>IF(ISNUMBER(STDEV(F8:F18)),STDEV(F8:F18),"-")</f>
        <v>1417.6292533663377</v>
      </c>
      <c r="G21" s="600">
        <f>IF(ISNUMBER(STDEV(G8:G18)),STDEV(G8:G18),"-")</f>
        <v>1392.3476577349495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1127.8538912465567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171.41539631911158</v>
      </c>
      <c r="BD21" s="599"/>
      <c r="BE21" s="599">
        <f>IF(ISNUMBER(STDEV(BE8:BE18)),STDEV(BE8:BE18),"-")</f>
        <v>0</v>
      </c>
      <c r="BF21" s="604">
        <f>IF(ISNUMBER(STDEV(BF8:BF18)),STDEV(BF8:BF18),"-")</f>
        <v>0</v>
      </c>
      <c r="BG21" s="914">
        <f>IF(ISNUMBER(STDEV(BG8:BG18)),STDEV(BG8:BG18),"-")</f>
        <v>0.14971754872998608</v>
      </c>
      <c r="BH21" s="918">
        <f>IF(ISNUMBER(STDEV(BH8:BH18)),STDEV(BH8:BH18),"-")</f>
        <v>8.7201029596303883</v>
      </c>
      <c r="BI21" s="253">
        <f>IF(ISNUMBER(STDEV(BI8:BI18)),STDEV(BI8:BI18),"-")</f>
        <v>9.6808006473296168E-2</v>
      </c>
      <c r="BJ21" s="234" t="str">
        <f>IF(ISNUMBER(BL21/BM21),BL21/BM21," - ")</f>
        <v xml:space="preserve"> - </v>
      </c>
      <c r="BK21" s="626"/>
      <c r="BL21" s="607">
        <f>IF(ISNUMBER(STDEV(BL8:BL18)),STDEV(BL8:BL18),"-")</f>
        <v>0.5743761904747452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MFLFPspyz6bxk/L1BRzsMaTlab25ecm9f1rIVeMFDt5cEHprj87Xgaq+EQ6eMk2Jec5v5K/jqDUk5YirzfpKbA==" saltValue="7H78LT8J3CFo11AOfvid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ORIHUELA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556</v>
      </c>
      <c r="F5" s="1688" t="s">
        <v>410</v>
      </c>
      <c r="G5" s="1659" t="s">
        <v>128</v>
      </c>
      <c r="H5" s="1659" t="s">
        <v>586</v>
      </c>
      <c r="I5" s="1659" t="s">
        <v>557</v>
      </c>
      <c r="J5" s="1659" t="s">
        <v>683</v>
      </c>
      <c r="K5" s="1659" t="s">
        <v>558</v>
      </c>
      <c r="L5" s="1659" t="s">
        <v>584</v>
      </c>
      <c r="M5" s="1659" t="s">
        <v>684</v>
      </c>
      <c r="N5" s="1659" t="s">
        <v>583</v>
      </c>
      <c r="O5" s="1659" t="s">
        <v>610</v>
      </c>
      <c r="P5" s="1694" t="s">
        <v>676</v>
      </c>
      <c r="Q5" s="1694" t="s">
        <v>678</v>
      </c>
      <c r="R5" s="1659" t="s">
        <v>590</v>
      </c>
      <c r="S5" s="1659" t="s">
        <v>559</v>
      </c>
      <c r="T5" s="1659" t="s">
        <v>771</v>
      </c>
      <c r="U5" s="1659" t="s">
        <v>772</v>
      </c>
      <c r="V5" s="1662" t="s">
        <v>667</v>
      </c>
      <c r="W5" s="1677" t="s">
        <v>572</v>
      </c>
      <c r="X5" s="1680" t="s">
        <v>573</v>
      </c>
      <c r="Y5" s="1656" t="s">
        <v>591</v>
      </c>
      <c r="Z5" s="1656" t="s">
        <v>611</v>
      </c>
      <c r="AA5" s="1659" t="s">
        <v>563</v>
      </c>
      <c r="AB5" s="1659" t="s">
        <v>574</v>
      </c>
      <c r="AC5" s="1659" t="s">
        <v>575</v>
      </c>
      <c r="AD5" s="1659" t="s">
        <v>529</v>
      </c>
      <c r="AE5" s="1659" t="s">
        <v>685</v>
      </c>
      <c r="AF5" s="1659" t="s">
        <v>184</v>
      </c>
      <c r="AG5" s="1659" t="s">
        <v>576</v>
      </c>
      <c r="AH5" s="1659" t="s">
        <v>564</v>
      </c>
      <c r="AI5" s="1659" t="s">
        <v>565</v>
      </c>
      <c r="AJ5" s="1659" t="s">
        <v>577</v>
      </c>
      <c r="AK5" s="1659" t="s">
        <v>578</v>
      </c>
      <c r="AL5" s="1659" t="s">
        <v>579</v>
      </c>
      <c r="AM5" s="1674" t="s">
        <v>580</v>
      </c>
      <c r="AN5" s="1659" t="s">
        <v>252</v>
      </c>
      <c r="AO5" s="1659" t="s">
        <v>567</v>
      </c>
      <c r="AP5" s="1659" t="s">
        <v>568</v>
      </c>
      <c r="AQ5" s="1659" t="s">
        <v>592</v>
      </c>
      <c r="AR5" s="1659" t="s">
        <v>593</v>
      </c>
      <c r="AS5" s="1659" t="s">
        <v>595</v>
      </c>
      <c r="AT5" s="1659" t="s">
        <v>588</v>
      </c>
      <c r="AU5" s="1659" t="s">
        <v>842</v>
      </c>
      <c r="AV5" s="1659" t="s">
        <v>336</v>
      </c>
      <c r="AW5" s="1659" t="s">
        <v>581</v>
      </c>
      <c r="AX5" s="1659" t="s">
        <v>534</v>
      </c>
      <c r="BU5" s="1659" t="s">
        <v>773</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528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573</v>
      </c>
      <c r="AA9" s="505" t="str">
        <f>IF(ISNUMBER(IF(J_V="SI",Datos!L9,Datos!L9+Datos!AB9)-IF(Monitorios="SI",Datos!CD9,0)),
                          IF(J_V="SI",Datos!L9,Datos!L9+Datos!AB9)-IF(Monitorios="SI",Datos!CD9,0),
                          " - ")</f>
        <v xml:space="preserve"> - </v>
      </c>
      <c r="AB9" s="503"/>
      <c r="AC9" s="503"/>
      <c r="AD9" s="516"/>
      <c r="AE9" s="516">
        <f>IF(ISNUMBER(Datos!R9),Datos!R9," - ")</f>
        <v>14917</v>
      </c>
      <c r="AF9" s="619" t="str">
        <f>IF(ISNUMBER(Datos!BV9),Datos!BV9," - ")</f>
        <v xml:space="preserve"> - </v>
      </c>
      <c r="AG9" s="506" t="str">
        <f>IF(ISNUMBER(Datos!DV9),Datos!DV9," - ")</f>
        <v xml:space="preserve"> - </v>
      </c>
      <c r="AH9" s="507"/>
      <c r="AI9" s="508"/>
      <c r="AJ9" s="506">
        <f>IF(ISNUMBER(Datos!M9),Datos!M9," - ")</f>
        <v>278</v>
      </c>
      <c r="AK9" s="619">
        <f>IF(ISNUMBER(Datos!N9),Datos!N9," - ")</f>
        <v>641</v>
      </c>
      <c r="AL9" s="619" t="str">
        <f>IF(ISNUMBER(Datos!BW9),Datos!BW9," - ")</f>
        <v xml:space="preserve"> - </v>
      </c>
      <c r="AM9" s="667" t="str">
        <f>IF(ISNUMBER(Datos!BX9),Datos!BX9," - ")</f>
        <v xml:space="preserve"> - </v>
      </c>
      <c r="AN9" s="668"/>
      <c r="AO9" s="669">
        <f>IF(ISNUMBER(((NºAsuntos!I9/NºAsuntos!G9)*11)/factor_trimestre),((NºAsuntos!I9/NºAsuntos!G9)*11)/factor_trimestre," - ")</f>
        <v>13.634899328859062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-3.0076193022323221E-3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206</v>
      </c>
      <c r="G10" s="506">
        <f>IF(ISNUMBER(Datos!I10),Datos!I10," - ")</f>
        <v>206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18</v>
      </c>
      <c r="Z10" s="703">
        <f>IF(ISNUMBER(Datos!Q10),Datos!Q10," - ")</f>
        <v>83</v>
      </c>
      <c r="AA10" s="505">
        <f>IF(ISNUMBER(Datos!L10),Datos!L10,"-")</f>
        <v>210</v>
      </c>
      <c r="AB10" s="503"/>
      <c r="AC10" s="503"/>
      <c r="AD10" s="516"/>
      <c r="AE10" s="516">
        <f>IF(ISNUMBER(Datos!R10),Datos!R10," - ")</f>
        <v>122</v>
      </c>
      <c r="AF10" s="619" t="str">
        <f>IF(ISNUMBER(Datos!BV10),Datos!BV10," - ")</f>
        <v xml:space="preserve"> - </v>
      </c>
      <c r="AG10" s="506" t="str">
        <f>IF(ISNUMBER(Datos!DV10),Datos!DV10," - ")</f>
        <v xml:space="preserve"> - </v>
      </c>
      <c r="AH10" s="507"/>
      <c r="AI10" s="508"/>
      <c r="AJ10" s="506">
        <f>IF(ISNUMBER(Datos!M10),Datos!M10," - ")</f>
        <v>9</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23.333333333333329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-0.38693467336683418</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206</v>
      </c>
      <c r="G13" s="1044">
        <f>SUBTOTAL(9,G8:G12)</f>
        <v>206</v>
      </c>
      <c r="H13" s="1054"/>
      <c r="I13" s="1044">
        <f t="shared" ref="I13:N13" si="0">SUBTOTAL(9,I8:I12)</f>
        <v>0</v>
      </c>
      <c r="J13" s="1013">
        <f t="shared" si="0"/>
        <v>0</v>
      </c>
      <c r="K13" s="1054">
        <f t="shared" si="0"/>
        <v>0</v>
      </c>
      <c r="L13" s="1054">
        <f t="shared" si="0"/>
        <v>0</v>
      </c>
      <c r="M13" s="1054">
        <f t="shared" si="0"/>
        <v>0</v>
      </c>
      <c r="N13" s="1054">
        <f t="shared" si="0"/>
        <v>534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18</v>
      </c>
      <c r="Z13" s="1053">
        <f t="shared" si="2"/>
        <v>656</v>
      </c>
      <c r="AA13" s="1046">
        <f t="shared" si="2"/>
        <v>210</v>
      </c>
      <c r="AB13" s="1046">
        <f t="shared" si="2"/>
        <v>0</v>
      </c>
      <c r="AC13" s="1046">
        <f t="shared" si="2"/>
        <v>0</v>
      </c>
      <c r="AD13" s="1046">
        <f t="shared" si="2"/>
        <v>0</v>
      </c>
      <c r="AE13" s="1046">
        <f t="shared" si="2"/>
        <v>15039</v>
      </c>
      <c r="AF13" s="1054">
        <f t="shared" si="2"/>
        <v>0</v>
      </c>
      <c r="AG13" s="1054">
        <f t="shared" si="2"/>
        <v>0</v>
      </c>
      <c r="AH13" s="1054">
        <f t="shared" si="2"/>
        <v>0</v>
      </c>
      <c r="AI13" s="1054">
        <f t="shared" si="2"/>
        <v>0</v>
      </c>
      <c r="AJ13" s="1054">
        <f t="shared" si="2"/>
        <v>287</v>
      </c>
      <c r="AK13" s="1054">
        <f t="shared" si="2"/>
        <v>646</v>
      </c>
      <c r="AL13" s="1054">
        <f t="shared" si="2"/>
        <v>0</v>
      </c>
      <c r="AM13" s="1054">
        <f t="shared" si="2"/>
        <v>0</v>
      </c>
      <c r="AN13" s="1054">
        <f t="shared" si="2"/>
        <v>0</v>
      </c>
      <c r="AO13" s="1050">
        <f>IF(ISNUMBER(((NºAsuntos!I13/NºAsuntos!G13)*11)/factor_trimestre),((NºAsuntos!I13/NºAsuntos!G13)*11)/factor_trimestre," - ")</f>
        <v>13.750663129973475</v>
      </c>
      <c r="AP13" s="1056" t="str">
        <f>IF(ISNUMBER(Datos!CI13/Datos!CJ13),Datos!CI13/Datos!CJ13," - ")</f>
        <v xml:space="preserve"> - </v>
      </c>
      <c r="AQ13" s="1074">
        <f t="shared" ref="AQ13:AV13" si="3">SUBTOTAL(9,AQ9:AQ12)</f>
        <v>0</v>
      </c>
      <c r="AR13" s="1074">
        <f t="shared" si="3"/>
        <v>-0.38994229266906649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2721</v>
      </c>
      <c r="G15" s="506">
        <f>IF(ISNUMBER(IF(D_I="SI",Datos!I15,Datos!I15+Datos!AC15)),IF(D_I="SI",Datos!I15,Datos!I15+Datos!AC15)," - ")</f>
        <v>2689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78</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2068</v>
      </c>
      <c r="Z15" s="703">
        <f>IF(ISNUMBER(Datos!Q15),Datos!Q15," - ")</f>
        <v>55</v>
      </c>
      <c r="AA15" s="505">
        <f>IF(ISNUMBER(IF(D_I="SI",Datos!L15,Datos!L15+Datos!AF15)),IF(D_I="SI",Datos!L15,Datos!L15+Datos!AF15)," - ")</f>
        <v>3132</v>
      </c>
      <c r="AB15" s="503"/>
      <c r="AC15" s="503"/>
      <c r="AD15" s="516"/>
      <c r="AE15" s="516">
        <f>IF(ISNUMBER(Datos!R15),Datos!R15," - ")</f>
        <v>271</v>
      </c>
      <c r="AF15" s="619" t="str">
        <f>IF(ISNUMBER(Datos!BV15),Datos!BV15," - ")</f>
        <v xml:space="preserve"> - </v>
      </c>
      <c r="AG15" s="506"/>
      <c r="AH15" s="507"/>
      <c r="AI15" s="508"/>
      <c r="AJ15" s="506">
        <f>IF(ISNUMBER(Datos!M15),Datos!M15," - ")</f>
        <v>345</v>
      </c>
      <c r="AK15" s="619">
        <f>IF(ISNUMBER(Datos!N15),Datos!N15," - ")</f>
        <v>1172</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3.029013539651837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0</v>
      </c>
      <c r="G16" s="506">
        <f>IF(ISNUMBER(IF(D_I="SI",Datos!I16,Datos!I16+Datos!AC16)),IF(D_I="SI",Datos!I16,Datos!I16+Datos!AC16)," - ")</f>
        <v>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0</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366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9</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380</v>
      </c>
      <c r="Z17" s="703">
        <f>IF(ISNUMBER(Datos!Q17),Datos!Q17," - ")</f>
        <v>9</v>
      </c>
      <c r="AA17" s="505">
        <f>IF(ISNUMBER(Datos!L17),Datos!L17,"-")</f>
        <v>394</v>
      </c>
      <c r="AB17" s="503"/>
      <c r="AC17" s="503"/>
      <c r="AD17" s="516"/>
      <c r="AE17" s="516">
        <f>IF(ISNUMBER(Datos!R17),Datos!R17," - ")</f>
        <v>20</v>
      </c>
      <c r="AF17" s="619" t="str">
        <f>IF(ISNUMBER(Datos!BV17),Datos!BV17," - ")</f>
        <v xml:space="preserve"> - </v>
      </c>
      <c r="AG17" s="506" t="str">
        <f>IF(ISNUMBER(Datos!DV17),Datos!DV17," - ")</f>
        <v xml:space="preserve"> - </v>
      </c>
      <c r="AH17" s="507"/>
      <c r="AI17" s="508"/>
      <c r="AJ17" s="506">
        <f>IF(ISNUMBER(Datos!M17),Datos!M17," - ")</f>
        <v>81</v>
      </c>
      <c r="AK17" s="619">
        <f>IF(ISNUMBER(Datos!N17),Datos!N17," - ")</f>
        <v>161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2.0736842105263156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2721</v>
      </c>
      <c r="G18" s="1044">
        <f>SUBTOTAL(9,G15:G17)</f>
        <v>3055</v>
      </c>
      <c r="H18" s="1078">
        <f>SUBTOTAL(9,H15:H17)</f>
        <v>0</v>
      </c>
      <c r="I18" s="1057">
        <f>SUBTOTAL(9,I15:I17)</f>
        <v>0</v>
      </c>
      <c r="J18" s="1013">
        <f>SUBTOTAL(9,J14:J17)</f>
        <v>0</v>
      </c>
      <c r="K18" s="1078">
        <f t="shared" ref="K18:S18" si="4">SUBTOTAL(9,K15:K17)</f>
        <v>0</v>
      </c>
      <c r="L18" s="1078">
        <f t="shared" si="4"/>
        <v>0</v>
      </c>
      <c r="M18" s="1078">
        <f t="shared" si="4"/>
        <v>0</v>
      </c>
      <c r="N18" s="1078">
        <f t="shared" si="4"/>
        <v>87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2448</v>
      </c>
      <c r="Z18" s="1078">
        <f t="shared" si="5"/>
        <v>64</v>
      </c>
      <c r="AA18" s="1078">
        <f t="shared" si="5"/>
        <v>3526</v>
      </c>
      <c r="AB18" s="1078">
        <f t="shared" si="5"/>
        <v>0</v>
      </c>
      <c r="AC18" s="1078">
        <f t="shared" si="5"/>
        <v>0</v>
      </c>
      <c r="AD18" s="1078">
        <f t="shared" si="5"/>
        <v>0</v>
      </c>
      <c r="AE18" s="1078">
        <f t="shared" si="5"/>
        <v>291</v>
      </c>
      <c r="AF18" s="1078">
        <f t="shared" si="5"/>
        <v>0</v>
      </c>
      <c r="AG18" s="1078">
        <f t="shared" si="5"/>
        <v>0</v>
      </c>
      <c r="AH18" s="1078">
        <f t="shared" si="5"/>
        <v>0</v>
      </c>
      <c r="AI18" s="1078">
        <f t="shared" si="5"/>
        <v>0</v>
      </c>
      <c r="AJ18" s="1078">
        <f t="shared" si="5"/>
        <v>426</v>
      </c>
      <c r="AK18" s="1078">
        <f t="shared" si="5"/>
        <v>1333</v>
      </c>
      <c r="AL18" s="1078">
        <f t="shared" si="5"/>
        <v>0</v>
      </c>
      <c r="AM18" s="1078">
        <f t="shared" si="5"/>
        <v>0</v>
      </c>
      <c r="AN18" s="1078">
        <f t="shared" si="5"/>
        <v>0</v>
      </c>
      <c r="AO18" s="1080">
        <f>IF(ISNUMBER(((NºAsuntos!I18/NºAsuntos!G18)*11)/factor_trimestre),((NºAsuntos!I18/NºAsuntos!G18)*11)/factor_trimestre," - ")</f>
        <v>2.880718954248366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2927</v>
      </c>
      <c r="G19" s="966">
        <f t="shared" si="7"/>
        <v>3261</v>
      </c>
      <c r="H19" s="967">
        <f t="shared" si="7"/>
        <v>0</v>
      </c>
      <c r="I19" s="966">
        <f t="shared" si="7"/>
        <v>0</v>
      </c>
      <c r="J19" s="968">
        <f t="shared" si="7"/>
        <v>0</v>
      </c>
      <c r="K19" s="966">
        <f t="shared" si="7"/>
        <v>0</v>
      </c>
      <c r="L19" s="969">
        <f t="shared" si="7"/>
        <v>0</v>
      </c>
      <c r="M19" s="966">
        <f t="shared" si="7"/>
        <v>0</v>
      </c>
      <c r="N19" s="967">
        <f t="shared" si="7"/>
        <v>621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2466</v>
      </c>
      <c r="Z19" s="973">
        <f t="shared" si="8"/>
        <v>720</v>
      </c>
      <c r="AA19" s="974">
        <f t="shared" si="8"/>
        <v>3736</v>
      </c>
      <c r="AB19" s="974">
        <f t="shared" si="8"/>
        <v>0</v>
      </c>
      <c r="AC19" s="974">
        <f t="shared" si="8"/>
        <v>0</v>
      </c>
      <c r="AD19" s="975">
        <f t="shared" si="8"/>
        <v>0</v>
      </c>
      <c r="AE19" s="975">
        <f t="shared" si="8"/>
        <v>15330</v>
      </c>
      <c r="AF19" s="976">
        <f t="shared" si="8"/>
        <v>0</v>
      </c>
      <c r="AG19" s="977">
        <f t="shared" si="8"/>
        <v>0</v>
      </c>
      <c r="AH19" s="978">
        <f t="shared" si="8"/>
        <v>0</v>
      </c>
      <c r="AI19" s="976">
        <f t="shared" si="8"/>
        <v>0</v>
      </c>
      <c r="AJ19" s="966">
        <f t="shared" si="8"/>
        <v>713</v>
      </c>
      <c r="AK19" s="966">
        <f t="shared" si="8"/>
        <v>1979</v>
      </c>
      <c r="AL19" s="966">
        <f t="shared" si="8"/>
        <v>0</v>
      </c>
      <c r="AM19" s="979">
        <f t="shared" si="8"/>
        <v>0</v>
      </c>
      <c r="AN19" s="969">
        <f>IF(ISNUMBER(Datos!K19/Datos!J19),Datos!K19/Datos!J19," - ")</f>
        <v>0.72038277511961724</v>
      </c>
      <c r="AO19" s="969">
        <f>IF(ISNUMBER(FIND("06",Criterios!A8,1)),(IF(ISNUMBER(((Datos!R19/Datos!Q19)*11)/factor_trimestre),((Datos!R19/Datos!Q19)*11)/factor_trimestre," - ")),(IF(ISNUMBER(((Datos!L19/Datos!K19)*11)/factor_trimestre),((Datos!L19/Datos!K19)*11)/factor_trimestre," - ")))</f>
        <v>7.1902231668437828</v>
      </c>
      <c r="AP19" s="980" t="str">
        <f>IF(ISNUMBER(Datos!CI19/Datos!CJ19),Datos!CI19/Datos!CJ19," - ")</f>
        <v xml:space="preserve"> - </v>
      </c>
      <c r="AQ19" s="980">
        <f>IF(OR(ISNUMBER(FIND("01",Criterios!A8,1)),ISNUMBER(FIND("02",Criterios!A8,1)),ISNUMBER(FIND("03",Criterios!A8,1)),ISNUMBER(FIND("04",Criterios!A8,1))),(J19-Y19+K19)/(F19-K19),(I19-Y19+K19)/(F19-K19))</f>
        <v>-0.84250085411684317</v>
      </c>
      <c r="AR19" s="980">
        <f>IF(ISNUMBER((Datos!P19-Datos!Q19+O19)/(Datos!R19-Datos!P19+Datos!Q19-O19)),(Datos!P19-Datos!Q19+O19)/(Datos!R19-Datos!P19+Datos!Q19-O19)," - ")</f>
        <v>-6.4164884308769198E-3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1087</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1417.6292533663377</v>
      </c>
      <c r="G21" s="600">
        <f>IF(ISNUMBER(STDEV(G8:G18)),STDEV(G8:G18),"-")</f>
        <v>1392.3476577349495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171.41539631911158</v>
      </c>
      <c r="AK21" s="256"/>
      <c r="AL21" s="256">
        <f>IF(ISNUMBER(STDEV(AL8:AL18)),STDEV(AL8:AL18),"-")</f>
        <v>0</v>
      </c>
      <c r="AM21" s="258">
        <f>IF(ISNUMBER(STDEV(AM8:AM18)),STDEV(AM8:AM18),"-")</f>
        <v>0</v>
      </c>
      <c r="AN21" s="586">
        <f>IF(ISNUMBER(STDEV(AN8:AN18)),STDEV(AN8:AN18),"-")</f>
        <v>0</v>
      </c>
      <c r="AO21" s="587">
        <f>IF(ISNUMBER(STDEV(AO8:AO18)),STDEV(AO8:AO18),"-")</f>
        <v>8.5660069598429871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wus2CROBGaiud+2zdNLFATq+ItTc8ccl2jwM44nJtzLGel/aEPVkMOB8zCXexGnn2Qgam+BQw6cE8IeqcIgrw==" saltValue="cLxkVcZTZ1iucInDeRDh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zjewL0bsPri7ApgjXqhBs6qmF3O4F6GvokFjyMd1M8s3QxtsM745ZVYwwaN0Bc5YfoH09n1wfCXkVaKxcp5jQ==" saltValue="g3R2QvfrlqInmHlrIw5a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755</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Aw3h3ZOJeIpbUYOxS+Tzp5uuNpNK3BB82HZbIcVhtxeOQNhxXjnsDxEihVK2JfnyHQdBW/z2kc52j2rVH6Bzg==" saltValue="XV9bzxMZyqCRk8XuOGN/j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ORIHUELA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558</v>
      </c>
      <c r="L5" s="1659" t="s">
        <v>526</v>
      </c>
      <c r="M5" s="1691" t="s">
        <v>584</v>
      </c>
      <c r="N5" s="1659" t="s">
        <v>719</v>
      </c>
      <c r="O5" s="1659" t="s">
        <v>679</v>
      </c>
      <c r="P5" s="1659" t="s">
        <v>170</v>
      </c>
      <c r="Q5" s="1694" t="s">
        <v>676</v>
      </c>
      <c r="R5" s="1694" t="s">
        <v>720</v>
      </c>
      <c r="S5" s="1659" t="s">
        <v>587</v>
      </c>
      <c r="T5" s="1694" t="s">
        <v>559</v>
      </c>
      <c r="U5" s="1694" t="s">
        <v>771</v>
      </c>
      <c r="V5" s="1694" t="s">
        <v>772</v>
      </c>
      <c r="W5" s="1677" t="s">
        <v>609</v>
      </c>
      <c r="X5" s="1680" t="s">
        <v>560</v>
      </c>
      <c r="Y5" s="1677" t="s">
        <v>561</v>
      </c>
      <c r="Z5" s="1677" t="s">
        <v>562</v>
      </c>
      <c r="AA5" s="1659" t="s">
        <v>680</v>
      </c>
      <c r="AB5" s="1659" t="s">
        <v>685</v>
      </c>
      <c r="AC5" s="1659" t="s">
        <v>184</v>
      </c>
      <c r="AD5" s="1665" t="s">
        <v>182</v>
      </c>
      <c r="AE5" s="1659" t="s">
        <v>681</v>
      </c>
      <c r="AF5" s="1668" t="s">
        <v>682</v>
      </c>
      <c r="AG5" s="1671" t="s">
        <v>535</v>
      </c>
      <c r="AH5" s="1659" t="s">
        <v>536</v>
      </c>
      <c r="AI5" s="1659" t="s">
        <v>607</v>
      </c>
      <c r="AJ5" s="1674" t="s">
        <v>608</v>
      </c>
      <c r="AK5" s="1671" t="s">
        <v>185</v>
      </c>
      <c r="AL5" s="1659" t="s">
        <v>566</v>
      </c>
      <c r="AM5" s="1659" t="s">
        <v>250</v>
      </c>
      <c r="AN5" s="1659" t="s">
        <v>251</v>
      </c>
      <c r="AO5" s="1659" t="s">
        <v>252</v>
      </c>
      <c r="AP5" s="1659" t="s">
        <v>567</v>
      </c>
      <c r="AQ5" s="1659" t="s">
        <v>253</v>
      </c>
      <c r="AR5" s="1659" t="s">
        <v>568</v>
      </c>
      <c r="AS5" s="1659" t="s">
        <v>569</v>
      </c>
      <c r="AT5" s="1659" t="s">
        <v>570</v>
      </c>
      <c r="AU5" s="1659" t="s">
        <v>595</v>
      </c>
      <c r="AV5" s="1659" t="s">
        <v>588</v>
      </c>
      <c r="AW5" s="1659" t="s">
        <v>842</v>
      </c>
      <c r="AX5" s="1659" t="s">
        <v>845</v>
      </c>
      <c r="AY5" s="1659" t="s">
        <v>847</v>
      </c>
      <c r="AZ5" s="1659" t="s">
        <v>589</v>
      </c>
      <c r="BA5" s="1659" t="s">
        <v>877</v>
      </c>
      <c r="BB5" s="1659" t="s">
        <v>571</v>
      </c>
      <c r="BC5" s="1659" t="s">
        <v>534</v>
      </c>
      <c r="BW5" s="1659" t="s">
        <v>773</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0.19031830238726791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0.13457536220194904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Pq7ezdmoeIJUdKn2tzImTjI2QgIJknpdCZ/ybjxZ38yt6z6/NDaCmC5Q/g8xFQRRSQ4oiVrxDegFknGx4hyI6A==" saltValue="RkdDCpNyYa59nyJOD71f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nh9Vkv9OyIozmYL469+C0+EGVleC3Y4l38JUXyXJAcWEQ05u5pk+5crQQAr9xzRJ/tke142xQhg+Iue4MzxKxA==" saltValue="SLxJqtpi4o7RqBpREIUo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ORIHUELA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749</v>
      </c>
      <c r="L5" s="1346" t="s">
        <v>795</v>
      </c>
      <c r="M5" s="1346" t="s">
        <v>865</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9142</v>
      </c>
      <c r="D9" s="415">
        <f>IF(ISNUMBER(C9/Datos!BH9),C9/Datos!BH9," - ")</f>
        <v>1523.6666666666667</v>
      </c>
      <c r="E9" s="414">
        <f>IF(ISNUMBER(IF(J_V="SI",Datos!J9,Datos!J9+Datos!Z9)),IF(J_V="SI",Datos!J9,Datos!J9+Datos!Z9)," - ")</f>
        <v>2506</v>
      </c>
      <c r="F9" s="415">
        <f>IF(ISNUMBER(E9/B9),E9/B9," - ")</f>
        <v>417.66666666666669</v>
      </c>
      <c r="G9" s="414">
        <f>IF(ISNUMBER(IF(J_V="SI",Datos!K9,Datos!K9+Datos!AA9)),IF(J_V="SI",Datos!K9,Datos!K9+Datos!AA9)," - ")</f>
        <v>1490</v>
      </c>
      <c r="H9" s="415">
        <f>IF(ISNUMBER(G9/B9),G9/B9," - ")</f>
        <v>248.33333333333334</v>
      </c>
      <c r="I9" s="414">
        <f>IF(ISNUMBER(IF(J_V="SI",Datos!L9,Datos!L9+Datos!AB9)),IF(J_V="SI",Datos!L9,Datos!L9+Datos!AB9)," - ")</f>
        <v>10158</v>
      </c>
      <c r="J9" s="415">
        <f>IF(ISNUMBER(I9/B9),I9/B9," - ")</f>
        <v>1693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206</v>
      </c>
      <c r="D10" s="415">
        <f>IF(ISNUMBER(C10/Datos!BH10),C10/Datos!BH10," - ")</f>
        <v>206</v>
      </c>
      <c r="E10" s="414">
        <f>IF(ISNUMBER(Datos!J10),Datos!J10," - ")</f>
        <v>22</v>
      </c>
      <c r="F10" s="415">
        <f>IF(ISNUMBER(E10/B10),E10/B10," - ")</f>
        <v>22</v>
      </c>
      <c r="G10" s="414">
        <f>IF(ISNUMBER(Datos!K10),Datos!K10," - ")</f>
        <v>18</v>
      </c>
      <c r="H10" s="415">
        <f>IF(ISNUMBER(G10/B10),G10/B10," - ")</f>
        <v>18</v>
      </c>
      <c r="I10" s="414">
        <f>IF(ISNUMBER(Datos!L10),Datos!L10," - ")</f>
        <v>210</v>
      </c>
      <c r="J10" s="415">
        <f>IF(ISNUMBER(I10/B10),I10/B10," - ")</f>
        <v>210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9348</v>
      </c>
      <c r="D13" s="996" t="str">
        <f>IF(ISNUMBER(C13/Datos!BI13),C13/Datos!BI13," - ")</f>
        <v xml:space="preserve"> - </v>
      </c>
      <c r="E13" s="995">
        <f>SUBTOTAL(9,E8:E12)</f>
        <v>2528</v>
      </c>
      <c r="F13" s="996">
        <f>IF(ISNUMBER(E13/B13),E13/B13," - ")</f>
        <v>361.14285714285717</v>
      </c>
      <c r="G13" s="995">
        <f>SUBTOTAL(9,G8:G12)</f>
        <v>1508</v>
      </c>
      <c r="H13" s="996">
        <f>IF(ISNUMBER(G13/B13),G13/B13," - ")</f>
        <v>215.42857142857142</v>
      </c>
      <c r="I13" s="995">
        <f>SUBTOTAL(9,I8:I12)</f>
        <v>10368</v>
      </c>
      <c r="J13" s="996">
        <f>IF(ISNUMBER(I13/B13),I13/B13," - ")</f>
        <v>1481.1428571428571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2689</v>
      </c>
      <c r="D15" s="415">
        <f>IF(ISNUMBER(C15/Datos!BH15),C15/Datos!BH15," - ")</f>
        <v>896.33333333333337</v>
      </c>
      <c r="E15" s="414">
        <f>IF(ISNUMBER(IF(D_I="SI",Datos!J15,Datos!J15+Datos!AD15)),IF(D_I="SI",Datos!J15,Datos!J15+Datos!AD15)," - ")</f>
        <v>2479</v>
      </c>
      <c r="F15" s="415">
        <f>IF(ISNUMBER(E15/B15),E15/B15," - ")</f>
        <v>826.33333333333337</v>
      </c>
      <c r="G15" s="414">
        <f>IF(ISNUMBER(IF(D_I="SI",Datos!K15,Datos!K15+Datos!AE15)),IF(D_I="SI",Datos!K15,Datos!K15+Datos!AE15)," - ")</f>
        <v>2068</v>
      </c>
      <c r="H15" s="415">
        <f>IF(ISNUMBER(G15/B15),G15/B15," - ")</f>
        <v>689.33333333333337</v>
      </c>
      <c r="I15" s="414">
        <f>IF(ISNUMBER(IF(D_I="SI",Datos!L15,Datos!L15+Datos!AF15)),IF(D_I="SI",Datos!L15,Datos!L15+Datos!AF15)," - ")</f>
        <v>3132</v>
      </c>
      <c r="J15" s="415">
        <f>IF(ISNUMBER(I15/B15),I15/B15," - ")</f>
        <v>1044</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0</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0</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366</v>
      </c>
      <c r="D17" s="415">
        <f>IF(ISNUMBER(C17/Datos!BH17),C17/Datos!BH17," - ")</f>
        <v>366</v>
      </c>
      <c r="E17" s="414">
        <f>IF(ISNUMBER(IF(D_I="SI",Datos!J17,Datos!J17+Datos!AD17)),IF(D_I="SI",Datos!J17,Datos!J17+Datos!AD17)," - ")</f>
        <v>408</v>
      </c>
      <c r="F17" s="415">
        <f>IF(ISNUMBER(E17/B17),E17/B17," - ")</f>
        <v>408</v>
      </c>
      <c r="G17" s="414">
        <f>IF(ISNUMBER(IF(D_I="SI",Datos!K17,Datos!K17+Datos!AE17)),IF(D_I="SI",Datos!K17,Datos!K17+Datos!AE17)," - ")</f>
        <v>380</v>
      </c>
      <c r="H17" s="415">
        <f>IF(ISNUMBER(G17/B17),G17/B17," - ")</f>
        <v>380</v>
      </c>
      <c r="I17" s="414">
        <f>IF(ISNUMBER(IF(D_I="SI",Datos!L17,Datos!L17+Datos!AF17)),IF(D_I="SI",Datos!L17,Datos!L17+Datos!AF17)," - ")</f>
        <v>394</v>
      </c>
      <c r="J17" s="415">
        <f>IF(ISNUMBER(I17/B17),I17/B17," - ")</f>
        <v>394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3055</v>
      </c>
      <c r="D18" s="996" t="str">
        <f>IF(ISNUMBER(C18/Datos!BI18),C18/Datos!BI18," - ")</f>
        <v xml:space="preserve"> - </v>
      </c>
      <c r="E18" s="995">
        <f>SUBTOTAL(9,E14:E17)</f>
        <v>2887</v>
      </c>
      <c r="F18" s="996">
        <f>IF(ISNUMBER(E18/B18),E18/B18," - ")</f>
        <v>721.75</v>
      </c>
      <c r="G18" s="995">
        <f>SUBTOTAL(9,G14:G17)</f>
        <v>2448</v>
      </c>
      <c r="H18" s="996">
        <f>IF(ISNUMBER(G18/B18),G18/B18," - ")</f>
        <v>612</v>
      </c>
      <c r="I18" s="995">
        <f>SUBTOTAL(9,I14:I17)</f>
        <v>3526</v>
      </c>
      <c r="J18" s="996">
        <f>IF(ISNUMBER(I18/B18),I18/B18," - ")</f>
        <v>881.5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12403</v>
      </c>
      <c r="D19" s="941" t="str">
        <f>IF(ISNUMBER(C19/Datos!BI19),C19/Datos!BI19," - ")</f>
        <v xml:space="preserve"> - </v>
      </c>
      <c r="E19" s="940">
        <f>SUBTOTAL(9,E9:E18)</f>
        <v>5415</v>
      </c>
      <c r="F19" s="941">
        <f>IF(ISNUMBER(E19/B19),E19/B19," - ")</f>
        <v>541.5</v>
      </c>
      <c r="G19" s="940">
        <f>SUBTOTAL(9,G9:G18)</f>
        <v>3956</v>
      </c>
      <c r="H19" s="941">
        <f>IF(ISNUMBER(G19/B19),G19/B19," - ")</f>
        <v>395.6</v>
      </c>
      <c r="I19" s="940">
        <f>SUBTOTAL(9,I9:I18)</f>
        <v>13894</v>
      </c>
      <c r="J19" s="941">
        <f>IF(ISNUMBER(I19/B19),I19/B19," - ")</f>
        <v>1389.4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h0ANM4GpXBUrg++B1srveakYs2xywGlkg908MexUD4WR+bOgs7LC0nqKkiiGNfJmwMF55ADnVKU71cipQH9aKw==" saltValue="S9xLiXVRzmDfoSMmT1eI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ORIHUELA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556</v>
      </c>
      <c r="F5" s="1688" t="s">
        <v>410</v>
      </c>
      <c r="G5" s="1659" t="s">
        <v>128</v>
      </c>
      <c r="H5" s="1659" t="s">
        <v>693</v>
      </c>
      <c r="I5" s="1659" t="s">
        <v>694</v>
      </c>
      <c r="J5" s="1659" t="s">
        <v>697</v>
      </c>
      <c r="K5" s="1659" t="s">
        <v>698</v>
      </c>
      <c r="L5" s="1659" t="s">
        <v>584</v>
      </c>
      <c r="M5" s="1659" t="s">
        <v>719</v>
      </c>
      <c r="N5" s="1659" t="s">
        <v>699</v>
      </c>
      <c r="O5" s="1659" t="s">
        <v>695</v>
      </c>
      <c r="P5" s="1659" t="s">
        <v>170</v>
      </c>
      <c r="Q5" s="1659" t="s">
        <v>676</v>
      </c>
      <c r="R5" s="1659" t="s">
        <v>720</v>
      </c>
      <c r="S5" s="1659" t="str">
        <f>"Ingreso Computable 2003" &amp; IF(OR(EXACT(LEFT(boletin,2),"04"),EXACT(LEFT(boletin,2),"14"),EXACT(LEFT(boletin,2),"17"))," (Civil + Penal)","")</f>
        <v>Ingreso Computable 2003</v>
      </c>
      <c r="T5" s="1659" t="s">
        <v>696</v>
      </c>
      <c r="U5" s="1694" t="str">
        <f>"% Ingreso Computable 2003" &amp; IF(OR(EXACT(LEFT(boletin,2),"04"),EXACT(LEFT(boletin,2),"14"),EXACT(LEFT(boletin,2),"17"))," (Civil + Penal)","")</f>
        <v>% Ingreso Computable 2003</v>
      </c>
      <c r="V5" s="1694" t="s">
        <v>700</v>
      </c>
      <c r="W5" s="1659" t="s">
        <v>765</v>
      </c>
      <c r="X5" s="1659" t="s">
        <v>766</v>
      </c>
      <c r="Y5" s="1662" t="s">
        <v>667</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701</v>
      </c>
      <c r="AC5" s="1718" t="s">
        <v>702</v>
      </c>
      <c r="AD5" s="1718" t="s">
        <v>703</v>
      </c>
      <c r="AE5" s="1718" t="s">
        <v>704</v>
      </c>
      <c r="AF5" s="1659" t="s">
        <v>705</v>
      </c>
      <c r="AG5" s="1659" t="s">
        <v>706</v>
      </c>
      <c r="AH5" s="1659" t="s">
        <v>707</v>
      </c>
      <c r="AI5" s="1659" t="s">
        <v>708</v>
      </c>
      <c r="AJ5" s="1659" t="s">
        <v>184</v>
      </c>
      <c r="AK5" s="1671" t="s">
        <v>535</v>
      </c>
      <c r="AL5" s="1671" t="s">
        <v>185</v>
      </c>
      <c r="AM5" s="1659" t="s">
        <v>566</v>
      </c>
      <c r="AN5" s="1659" t="s">
        <v>250</v>
      </c>
      <c r="AO5" s="1659" t="s">
        <v>251</v>
      </c>
      <c r="AP5" s="1659" t="s">
        <v>709</v>
      </c>
      <c r="AQ5" s="1659" t="s">
        <v>710</v>
      </c>
      <c r="AR5" s="1659" t="s">
        <v>711</v>
      </c>
      <c r="AS5" s="1659" t="s">
        <v>712</v>
      </c>
      <c r="AT5" s="1659" t="s">
        <v>713</v>
      </c>
      <c r="AU5" s="1659" t="s">
        <v>714</v>
      </c>
      <c r="AV5" s="1659" t="s">
        <v>715</v>
      </c>
      <c r="AW5" s="1659" t="s">
        <v>716</v>
      </c>
      <c r="AX5" s="1659" t="s">
        <v>842</v>
      </c>
      <c r="AY5" s="1659" t="s">
        <v>845</v>
      </c>
      <c r="AZ5" s="1659" t="s">
        <v>717</v>
      </c>
      <c r="BA5" s="1659" t="s">
        <v>718</v>
      </c>
      <c r="BB5" s="1659" t="s">
        <v>534</v>
      </c>
      <c r="BC5" s="1518" t="s">
        <v>725</v>
      </c>
      <c r="BD5" s="1518" t="s">
        <v>726</v>
      </c>
      <c r="BE5" s="1688" t="s">
        <v>727</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206</v>
      </c>
      <c r="G10" s="802">
        <f>IF(ISNUMBER(Datos!I10),Datos!I10," - ")</f>
        <v>206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18</v>
      </c>
      <c r="AC10" s="801" t="str">
        <f>IF(ISNUMBER(IF(D_I="SI",DatosP!K17,DatosP!K17+DatosP!AE17)),IF(D_I="SI",DatosP!K17,DatosP!K17+DatosP!AE17)," - ")</f>
        <v xml:space="preserve"> - </v>
      </c>
      <c r="AD10" s="803"/>
      <c r="AE10" s="803"/>
      <c r="AF10" s="806">
        <f>IF(ISNUMBER(Datos!L10),Datos!L10,"-")</f>
        <v>210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23.333333333333329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206</v>
      </c>
      <c r="G13" s="1084">
        <f t="shared" si="0"/>
        <v>206</v>
      </c>
      <c r="H13" s="1084">
        <f t="shared" si="0"/>
        <v>0</v>
      </c>
      <c r="I13" s="1086">
        <f t="shared" si="0"/>
        <v>0</v>
      </c>
      <c r="J13" s="1085">
        <f t="shared" si="0"/>
        <v>0</v>
      </c>
      <c r="K13" s="1085">
        <f t="shared" si="0"/>
        <v>0</v>
      </c>
      <c r="L13" s="1087">
        <f t="shared" si="0"/>
        <v>0</v>
      </c>
      <c r="M13" s="1087">
        <f t="shared" si="0"/>
        <v>0</v>
      </c>
      <c r="N13" s="1085">
        <f t="shared" si="0"/>
        <v>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18</v>
      </c>
      <c r="AC13" s="1085">
        <f t="shared" si="1"/>
        <v>0</v>
      </c>
      <c r="AD13" s="1085">
        <f t="shared" si="1"/>
        <v>0</v>
      </c>
      <c r="AE13" s="1085">
        <f t="shared" si="1"/>
        <v>0</v>
      </c>
      <c r="AF13" s="1085">
        <f t="shared" si="1"/>
        <v>210</v>
      </c>
      <c r="AG13" s="1085">
        <f t="shared" si="1"/>
        <v>0</v>
      </c>
      <c r="AH13" s="1085">
        <f t="shared" si="1"/>
        <v>0</v>
      </c>
      <c r="AI13" s="1085">
        <f t="shared" si="1"/>
        <v>0</v>
      </c>
      <c r="AJ13" s="1085">
        <f t="shared" si="1"/>
        <v>0</v>
      </c>
      <c r="AK13" s="1085">
        <f t="shared" si="1"/>
        <v>0</v>
      </c>
      <c r="AL13" s="1085">
        <f t="shared" si="1"/>
        <v>9</v>
      </c>
      <c r="AM13" s="1085">
        <f t="shared" si="1"/>
        <v>5</v>
      </c>
      <c r="AN13" s="1085">
        <f t="shared" si="1"/>
        <v>0</v>
      </c>
      <c r="AO13" s="1085">
        <f t="shared" si="1"/>
        <v>0</v>
      </c>
      <c r="AP13" s="1090">
        <f>IF(ISNUMBER(((Datos!L13/Datos!K13)*11)/factor_trimestre),((Datos!L13/Datos!K13)*11)/factor_trimestre," - ")</f>
        <v>15.206686930091188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-8.7378640776699032E-2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2.880718954248366</v>
      </c>
      <c r="AQ18" s="1090">
        <f>IF(ISNUMBER(((Datos!M18/Datos!L18)*11)/factor_trimestre),((Datos!M18/Datos!L18)*11)/factor_trimestre," - ")</f>
        <v>0.24163357912648895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8.5820895522388058E-2</v>
      </c>
      <c r="AW18" s="1092">
        <f>IF(ISNUMBER((Datos!Q18-Datos!R18)/(Datos!S18-Datos!Q18+Datos!R18)),(Datos!Q18-Datos!R18)/(Datos!S18-Datos!Q18+Datos!R18)," - ")</f>
        <v>-9.5983086680761096E-2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206</v>
      </c>
      <c r="G19" s="1097">
        <f t="shared" si="4"/>
        <v>206</v>
      </c>
      <c r="H19" s="1097">
        <f t="shared" si="4"/>
        <v>0</v>
      </c>
      <c r="I19" s="1098">
        <f t="shared" si="4"/>
        <v>0</v>
      </c>
      <c r="J19" s="1099">
        <f t="shared" si="4"/>
        <v>0</v>
      </c>
      <c r="K19" s="1099">
        <f t="shared" si="4"/>
        <v>0</v>
      </c>
      <c r="L19" s="1099">
        <f t="shared" si="4"/>
        <v>0</v>
      </c>
      <c r="M19" s="1099">
        <f t="shared" si="4"/>
        <v>0</v>
      </c>
      <c r="N19" s="1098">
        <f t="shared" si="4"/>
        <v>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18</v>
      </c>
      <c r="AC19" s="1103">
        <f t="shared" si="5"/>
        <v>0</v>
      </c>
      <c r="AD19" s="1103">
        <f t="shared" si="5"/>
        <v>0</v>
      </c>
      <c r="AE19" s="1103">
        <f t="shared" si="5"/>
        <v>0</v>
      </c>
      <c r="AF19" s="1104">
        <f t="shared" si="5"/>
        <v>210</v>
      </c>
      <c r="AG19" s="1104">
        <f t="shared" si="5"/>
        <v>0</v>
      </c>
      <c r="AH19" s="1104">
        <f t="shared" si="5"/>
        <v>0</v>
      </c>
      <c r="AI19" s="1104">
        <f t="shared" si="5"/>
        <v>0</v>
      </c>
      <c r="AJ19" s="1105">
        <f t="shared" si="5"/>
        <v>0</v>
      </c>
      <c r="AK19" s="1105">
        <f t="shared" si="5"/>
        <v>0</v>
      </c>
      <c r="AL19" s="1097">
        <f t="shared" si="5"/>
        <v>9</v>
      </c>
      <c r="AM19" s="1097">
        <f t="shared" si="5"/>
        <v>5</v>
      </c>
      <c r="AN19" s="1097">
        <f t="shared" si="5"/>
        <v>0</v>
      </c>
      <c r="AO19" s="1097">
        <f t="shared" si="5"/>
        <v>0</v>
      </c>
      <c r="AP19" s="1097">
        <f>IF(ISNUMBER(((Datos!L19/Datos!K19)*11)/factor_trimestre),((Datos!L19/Datos!K19)*11)/factor_trimestre," - ")</f>
        <v>7.1902231668437828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-8.7378640776699032E-2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-6.4164884308769198E-3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137.33333333333334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118.9341554530629</v>
      </c>
      <c r="G21" s="870">
        <f>IF(ISNUMBER(STDEV(G8:G18)),STDEV(G8:G18),"-")</f>
        <v>118.9341554530629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10.392304845413264</v>
      </c>
      <c r="AC21" s="871">
        <f>IF(ISNUMBER(STDEV(AC8:AC18)),STDEV(AC8:AC18),"-")</f>
        <v>0</v>
      </c>
      <c r="AD21" s="874"/>
      <c r="AE21" s="874"/>
      <c r="AF21" s="874"/>
      <c r="AG21" s="874"/>
      <c r="AH21" s="874"/>
      <c r="AI21" s="874"/>
      <c r="AJ21" s="875">
        <f>IF(ISNUMBER(STDEV(AJ8:AJ18)),STDEV(AJ8:AJ18),"-")</f>
        <v>0</v>
      </c>
      <c r="AK21" s="877"/>
      <c r="AL21" s="869">
        <f>IF(ISNUMBER(STDEV(AL8:AL18)),STDEV(AL8:AL18),"-")</f>
        <v>5.196152422706632</v>
      </c>
      <c r="AM21" s="869"/>
      <c r="AN21" s="869">
        <f>IF(ISNUMBER(STDEV(AN8:AN18)),STDEV(AN8:AN18),"-")</f>
        <v>0</v>
      </c>
      <c r="AO21" s="875">
        <f>IF(ISNUMBER(STDEV(AO8:AO18)),STDEV(AO8:AO18),"-")</f>
        <v>0</v>
      </c>
      <c r="AP21" s="922">
        <f>IF(ISNUMBER(STDEV(AP8:AP18)),STDEV(AP8:AP18),"-")</f>
        <v>10.297906771478562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92VOHK7CbdvIHKX5BpOfKFJ+uOovUAcmsbbGWtQ0lQsi0QiiPX6wLM3nBMUCV2iEgk5xbdQXGgZjLIRk5RRbmw==" saltValue="pjRaU+apg2EjkPfnF1bzO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ORIHUELA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cwcDf3Cv4PvB2OvERy1OAE03J8TQgKYKREei00SpHFjeZqUW5MzbbxtsJZmREv09kb0KQHimF6WX/cxlE8XuBw==" saltValue="AG8YMB6UebxVDQ/5q8H3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ORIHUELA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278</v>
      </c>
      <c r="E9" s="415">
        <f t="shared" ref="E9:E13" si="0">IF(ISNUMBER(D9/B9),D9/B9," - ")</f>
        <v>46.333333333333336</v>
      </c>
      <c r="F9" s="414">
        <f>IF(ISNUMBER(Datos!N9),Datos!N9," - ")</f>
        <v>641</v>
      </c>
      <c r="G9" s="415">
        <f t="shared" ref="G9:G13" si="1">IF(ISNUMBER(F9/B9),F9/B9," - ")</f>
        <v>106.83333333333333</v>
      </c>
      <c r="H9" s="414">
        <f>IF(ISNUMBER(Datos!O9),Datos!O9," - ")</f>
        <v>843</v>
      </c>
      <c r="I9" s="415">
        <f>IF(ISNUMBER(H9/B9),H9/B9," - ")</f>
        <v>140.5</v>
      </c>
    </row>
    <row r="10" spans="1:9">
      <c r="A10" s="413" t="str">
        <f>Datos!A10</f>
        <v>Jdos. Violencia contra la mujer</v>
      </c>
      <c r="B10" s="443">
        <f>Datos!AO10</f>
        <v>1</v>
      </c>
      <c r="C10" s="421">
        <f>Datos!AQ10</f>
        <v>1</v>
      </c>
      <c r="D10" s="414">
        <f>IF(ISNUMBER(Datos!M10),Datos!M10," - ")</f>
        <v>9</v>
      </c>
      <c r="E10" s="415">
        <f>IF(ISNUMBER(D10/B10),D10/B10," - ")</f>
        <v>9</v>
      </c>
      <c r="F10" s="414">
        <f>IF(ISNUMBER(Datos!N10),Datos!N10," - ")</f>
        <v>5</v>
      </c>
      <c r="G10" s="415">
        <f>IF(ISNUMBER(F10/B10),F10/B10," - ")</f>
        <v>5</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7</v>
      </c>
      <c r="D13" s="995">
        <f>SUBTOTAL(9,D9:D12)</f>
        <v>287</v>
      </c>
      <c r="E13" s="996">
        <f t="shared" si="0"/>
        <v>41</v>
      </c>
      <c r="F13" s="995">
        <f>SUBTOTAL(9,F9:F12)</f>
        <v>646</v>
      </c>
      <c r="G13" s="996">
        <f t="shared" si="1"/>
        <v>92.285714285714292</v>
      </c>
      <c r="H13" s="995">
        <f>SUBTOTAL(9,H9:H12)</f>
        <v>847</v>
      </c>
      <c r="I13" s="996">
        <f>IF(ISNUMBER(H13/B13),H13/B13," - ")</f>
        <v>121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345</v>
      </c>
      <c r="E15" s="415">
        <f t="shared" ref="E15:E18" si="3">IF(ISNUMBER(D15/B15),D15/B15," - ")</f>
        <v>115</v>
      </c>
      <c r="F15" s="414">
        <f>IF(ISNUMBER(Datos!N15),Datos!N15," - ")</f>
        <v>1172</v>
      </c>
      <c r="G15" s="415">
        <f t="shared" ref="G15:G18" si="4">IF(ISNUMBER(F15/B15),F15/B15," - ")</f>
        <v>390.66666666666669</v>
      </c>
      <c r="H15" s="414">
        <f>IF(ISNUMBER(Datos!O15),Datos!O15," - ")</f>
        <v>35</v>
      </c>
      <c r="I15" s="415">
        <f t="shared" ref="I15:I17" si="5">IF(ISNUMBER(H15/B15),H15/B15," - ")</f>
        <v>11.666666666666666</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1</v>
      </c>
      <c r="D17" s="414">
        <f>IF(ISNUMBER(Datos!M17),Datos!M17," - ")</f>
        <v>81</v>
      </c>
      <c r="E17" s="415">
        <f>IF(ISNUMBER(D17/B17),D17/B17," - ")</f>
        <v>81</v>
      </c>
      <c r="F17" s="414">
        <f>IF(ISNUMBER(Datos!N17),Datos!N17," - ")</f>
        <v>161</v>
      </c>
      <c r="G17" s="415">
        <f>IF(ISNUMBER(F17/B17),F17/B17," - ")</f>
        <v>161</v>
      </c>
      <c r="H17" s="414">
        <f>IF(ISNUMBER(Datos!O17),Datos!O17," - ")</f>
        <v>0</v>
      </c>
      <c r="I17" s="415">
        <f t="shared" si="5"/>
        <v>0</v>
      </c>
    </row>
    <row r="18" spans="1:9" ht="14.25" thickTop="1" thickBot="1">
      <c r="A18" s="994" t="str">
        <f>Datos!A18</f>
        <v>TOTAL</v>
      </c>
      <c r="B18" s="995">
        <f>Datos!AO18</f>
        <v>4</v>
      </c>
      <c r="C18" s="997">
        <f>Datos!AR18</f>
        <v>4</v>
      </c>
      <c r="D18" s="995">
        <f>SUBTOTAL(9,D15:D17)</f>
        <v>426</v>
      </c>
      <c r="E18" s="996">
        <f t="shared" si="3"/>
        <v>106.5</v>
      </c>
      <c r="F18" s="995">
        <f>SUBTOTAL(9,F15:F17)</f>
        <v>1333</v>
      </c>
      <c r="G18" s="996">
        <f t="shared" si="4"/>
        <v>333.25</v>
      </c>
      <c r="H18" s="995">
        <f>SUBTOTAL(9,H15:H17)</f>
        <v>35</v>
      </c>
      <c r="I18" s="996">
        <f>IF(ISNUMBER(H18/B18),H18/B18," - ")</f>
        <v>8.75</v>
      </c>
    </row>
    <row r="19" spans="1:9" ht="14.25" thickTop="1" thickBot="1">
      <c r="A19" s="939" t="str">
        <f>Datos!A19</f>
        <v>TOTAL JURISDICCIONES</v>
      </c>
      <c r="B19" s="940">
        <f>Datos!AP19</f>
        <v>10</v>
      </c>
      <c r="C19" s="940">
        <f>Datos!AR19</f>
        <v>10</v>
      </c>
      <c r="D19" s="940">
        <f>SUBTOTAL(9,D8:D18)</f>
        <v>713</v>
      </c>
      <c r="E19" s="941">
        <f>IF(ISNUMBER(D19/B19),D19/B19," - ")</f>
        <v>71.3</v>
      </c>
      <c r="F19" s="940">
        <f>SUBTOTAL(9,F8:F18)</f>
        <v>1979</v>
      </c>
      <c r="G19" s="941">
        <f>IF(ISNUMBER(F19/B19),F19/B19," - ")</f>
        <v>197.9</v>
      </c>
      <c r="H19" s="940">
        <f>SUBTOTAL(9,H8:H18)</f>
        <v>882</v>
      </c>
      <c r="I19" s="941">
        <f>IF(ISNUMBER(H19/B19),H19/B19," - ")</f>
        <v>88.2</v>
      </c>
    </row>
    <row r="22" spans="1:9">
      <c r="A22" s="402" t="str">
        <f>Criterios!A4</f>
        <v>Fecha Informe: 29 nov. 2023</v>
      </c>
    </row>
    <row r="27" spans="1:9">
      <c r="A27" s="425"/>
    </row>
  </sheetData>
  <sheetProtection algorithmName="SHA-512" hashValue="h1Vn8MMYxwOBGxWz6z8sRLQ8YYybHhK06uSQzPDAPZaXpKqRNOIWSjZUBkVyKc8PD0FluD5BNHV1g7GzO6jwWQ==" saltValue="GqEotfcJZVKsXpyHiQaG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ORIHUELA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528</v>
      </c>
      <c r="C9" s="450">
        <f>IF(ISNUMBER(Datos!Q9),Datos!Q9," - ")</f>
        <v>573</v>
      </c>
      <c r="D9" s="419">
        <f>IF(ISNUMBER(Datos!R9),Datos!R9," - ")</f>
        <v>14917</v>
      </c>
    </row>
    <row r="10" spans="1:4">
      <c r="A10" s="413" t="str">
        <f>Datos!A10</f>
        <v>Jdos. Violencia contra la mujer</v>
      </c>
      <c r="B10" s="449">
        <f>IF(ISNUMBER(Datos!P10),Datos!P10," - ")</f>
        <v>6</v>
      </c>
      <c r="C10" s="450">
        <f>IF(ISNUMBER(Datos!Q10),Datos!Q10," - ")</f>
        <v>83</v>
      </c>
      <c r="D10" s="419">
        <f>IF(ISNUMBER(Datos!R10),Datos!R10," - ")</f>
        <v>122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534</v>
      </c>
      <c r="C13" s="999">
        <f>SUBTOTAL(9,C9:C12)</f>
        <v>656</v>
      </c>
      <c r="D13" s="997">
        <f>SUBTOTAL(9,D9:D12)</f>
        <v>15039</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78</v>
      </c>
      <c r="C15" s="450">
        <f>IF(ISNUMBER(Datos!Q15),Datos!Q15," - ")</f>
        <v>55</v>
      </c>
      <c r="D15" s="419">
        <f>IF(ISNUMBER(Datos!R15),Datos!R15," - ")</f>
        <v>271</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9</v>
      </c>
      <c r="C17" s="450">
        <f>IF(ISNUMBER(Datos!Q17),Datos!Q17," - ")</f>
        <v>9</v>
      </c>
      <c r="D17" s="419">
        <f>IF(ISNUMBER(Datos!R17),Datos!R17," - ")</f>
        <v>20</v>
      </c>
    </row>
    <row r="18" spans="1:4" ht="14.25" thickTop="1" thickBot="1">
      <c r="A18" s="994" t="str">
        <f>Datos!A18</f>
        <v>TOTAL</v>
      </c>
      <c r="B18" s="995">
        <f>SUBTOTAL(9,B15:B17)</f>
        <v>87</v>
      </c>
      <c r="C18" s="999">
        <f>SUBTOTAL(9,C15:C17)</f>
        <v>64</v>
      </c>
      <c r="D18" s="997">
        <f>SUBTOTAL(9,D15:D17)</f>
        <v>291</v>
      </c>
    </row>
    <row r="19" spans="1:4" ht="16.5" customHeight="1" thickTop="1" thickBot="1">
      <c r="A19" s="939" t="str">
        <f>Datos!A19</f>
        <v>TOTAL JURISDICCIONES</v>
      </c>
      <c r="B19" s="944">
        <f>SUBTOTAL(9,B8:B18)</f>
        <v>621</v>
      </c>
      <c r="C19" s="945">
        <f>SUBTOTAL(9,C8:C18)</f>
        <v>720</v>
      </c>
      <c r="D19" s="946">
        <f>SUBTOTAL(9,D8:D18)</f>
        <v>15330</v>
      </c>
    </row>
    <row r="20" spans="1:4" ht="7.5" customHeight="1"/>
    <row r="21" spans="1:4" ht="6" customHeight="1"/>
    <row r="22" spans="1:4">
      <c r="A22" s="402" t="str">
        <f>Criterios!A4</f>
        <v>Fecha Informe: 29 nov. 2023</v>
      </c>
    </row>
    <row r="27" spans="1:4">
      <c r="A27" s="425"/>
    </row>
  </sheetData>
  <sheetProtection algorithmName="SHA-512" hashValue="U8giwS1EbcZq4o7M2sSOiPRzevfX0maEncvgYRRQuvCV/d7F4Ikk47gZbuD6TPitdY7T8dqohOk7LBau5hVqLQ==" saltValue="3EQI6vIUi9zYiYoGISa2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ORIHUELA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0.32685050798258347</v>
      </c>
      <c r="C9" s="472">
        <f>IF(ISNUMBER(
   IF(J_V="SI",(Datos!J9-Datos!T9)/Datos!T9,(Datos!J9+Datos!Z9-(Datos!T9+Datos!AH9))/(Datos!T9+Datos!AH9))
     ),IF(J_V="SI",(Datos!J9-Datos!T9)/Datos!T9,(Datos!J9+Datos!Z9-(Datos!T9+Datos!AH9))/(Datos!T9+Datos!AH9))," - ")</f>
        <v>0.15059687786960516</v>
      </c>
      <c r="D9" s="472">
        <f>IF(ISNUMBER(
   IF(J_V="SI",(Datos!K9-Datos!U9)/Datos!U9,(Datos!K9+Datos!AA9-(Datos!U9+Datos!AI9))/(Datos!U9+Datos!AI9))
     ),IF(J_V="SI",(Datos!K9-Datos!U9)/Datos!U9,(Datos!K9+Datos!AA9-(Datos!U9+Datos!AI9))/(Datos!U9+Datos!AI9))," - ")</f>
        <v>-0.11886457717327026</v>
      </c>
      <c r="E9" s="472">
        <f>IF(ISNUMBER(
   IF(J_V="SI",(Datos!L9-Datos!V9)/Datos!V9,(Datos!L9+Datos!AB9-(Datos!V9+Datos!AJ9))/(Datos!V9+Datos!AJ9))
     ),IF(J_V="SI",(Datos!L9-Datos!V9)/Datos!V9,(Datos!L9+Datos!AB9-(Datos!V9+Datos!AJ9))/(Datos!V9+Datos!AJ9))," - ")</f>
        <v>0.3769825132167548</v>
      </c>
      <c r="F9" s="472">
        <f>IF(ISNUMBER((Datos!M9-Datos!W9)/Datos!W9),(Datos!M9-Datos!W9)/Datos!W9," - ")</f>
        <v>-0.11182108626198083</v>
      </c>
      <c r="G9" s="473">
        <f>IF(ISNUMBER((Datos!N9-Datos!X9)/Datos!X9),(Datos!N9-Datos!X9)/Datos!X9," - ")</f>
        <v>-0.14075067024128687</v>
      </c>
      <c r="H9" s="471">
        <f>IF(ISNUMBER(((NºAsuntos!G9/NºAsuntos!E9)-Datos!BD9)/Datos!BD9),((NºAsuntos!G9/NºAsuntos!E9)-Datos!BD9)/Datos!BD9," - ")</f>
        <v>-0.23419275701651354</v>
      </c>
      <c r="I9" s="472">
        <f>IF(ISNUMBER(((NºAsuntos!I9/NºAsuntos!G9)-Datos!BE9)/Datos!BE9),((NºAsuntos!I9/NºAsuntos!G9)-Datos!BE9)/Datos!BE9," - ")</f>
        <v>0.56273653010035729</v>
      </c>
      <c r="J9" s="477">
        <f>IF(ISNUMBER((('Resol  Asuntos'!D9/NºAsuntos!G9)-Datos!BF9)/Datos!BF9),(('Resol  Asuntos'!D9/NºAsuntos!G9)-Datos!BF9)/Datos!BF9," - ")</f>
        <v>-0.57707504903107398</v>
      </c>
      <c r="K9" s="478">
        <f>IF(ISNUMBER((((NºAsuntos!C9+NºAsuntos!E9)/NºAsuntos!G9)-Datos!BG9)/Datos!BG9),(((NºAsuntos!C9+NºAsuntos!E9)/NºAsuntos!G9)-Datos!BG9)/Datos!BG9," - ")</f>
        <v>0.45779746168398061</v>
      </c>
    </row>
    <row r="10" spans="1:11">
      <c r="A10" s="413" t="str">
        <f>Datos!A10</f>
        <v>Jdos. Violencia contra la mujer</v>
      </c>
      <c r="B10" s="471">
        <f>IF(ISNUMBER((Datos!I10-Datos!S10)/Datos!S10),(Datos!I10-Datos!S10)/Datos!S10," - ")</f>
        <v>0.44055944055944057</v>
      </c>
      <c r="C10" s="472">
        <f>IF(ISNUMBER((Datos!J10-Datos!T10)/Datos!T10),(Datos!J10-Datos!T10)/Datos!T10," - ")</f>
        <v>-0.42105263157894735</v>
      </c>
      <c r="D10" s="472">
        <f>IF(ISNUMBER((Datos!K10-Datos!U10)/Datos!U10),(Datos!K10-Datos!U10)/Datos!U10," - ")</f>
        <v>-0.1</v>
      </c>
      <c r="E10" s="472">
        <f>IF(ISNUMBER((Datos!L10-Datos!V10)/Datos!V10),(Datos!L10-Datos!V10)/Datos!V10," - ")</f>
        <v>0.30434782608695654</v>
      </c>
      <c r="F10" s="472">
        <f>IF(ISNUMBER((Datos!M10-Datos!W10)/Datos!W10),(Datos!M10-Datos!W10)/Datos!W10," - ")</f>
        <v>0.2857142857142857</v>
      </c>
      <c r="G10" s="473">
        <f>IF(ISNUMBER((Datos!N10-Datos!X10)/Datos!X10),(Datos!N10-Datos!X10)/Datos!X10," - ")</f>
        <v>-0.54545454545454541</v>
      </c>
      <c r="H10" s="471">
        <f>IF(ISNUMBER(((NºAsuntos!G10/NºAsuntos!E10)-Datos!BD10)/Datos!BD10),((NºAsuntos!G10/NºAsuntos!E10)-Datos!BD10)/Datos!BD10," - ")</f>
        <v>0.55454545454545467</v>
      </c>
      <c r="I10" s="472">
        <f>IF(ISNUMBER(((NºAsuntos!I10/NºAsuntos!G10)-Datos!BE10)/Datos!BE10),((NºAsuntos!I10/NºAsuntos!G10)-Datos!BE10)/Datos!BE10," - ")</f>
        <v>0.44927536231884035</v>
      </c>
      <c r="J10" s="477">
        <f>IF(ISNUMBER((('Resol  Asuntos'!D10/NºAsuntos!G10)-Datos!BF10)/Datos!BF10),(('Resol  Asuntos'!D10/NºAsuntos!G10)-Datos!BF10)/Datos!BF10," - ")</f>
        <v>0.42857142857142866</v>
      </c>
      <c r="K10" s="478">
        <f>IF(ISNUMBER((((NºAsuntos!C10+NºAsuntos!E10)/NºAsuntos!G10)-Datos!BG10)/Datos!BG10),(((NºAsuntos!C10+NºAsuntos!E10)/NºAsuntos!G10)-Datos!BG10)/Datos!BG10," - ")</f>
        <v>0.39963167587476961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0.32916251955068959</v>
      </c>
      <c r="C13" s="1001">
        <f>IF(ISNUMBER(
   IF(J_V="SI",(Datos!J13-Datos!T13)/Datos!T13,(Datos!J13+Datos!Z13-(Datos!T13+Datos!AH13))/(Datos!T13+Datos!AH13))
     ),IF(J_V="SI",(Datos!J13-Datos!T13)/Datos!T13,(Datos!J13+Datos!Z13-(Datos!T13+Datos!AH13))/(Datos!T13+Datos!AH13))," - ")</f>
        <v>0.1407942238267148</v>
      </c>
      <c r="D13" s="1001">
        <f>IF(ISNUMBER(
   IF(J_V="SI",(Datos!K13-Datos!U13)/Datos!U13,(Datos!K13+Datos!AA13-(Datos!U13+Datos!AI13))/(Datos!U13+Datos!AI13))
     ),IF(J_V="SI",(Datos!K13-Datos!U13)/Datos!U13,(Datos!K13+Datos!AA13-(Datos!U13+Datos!AI13))/(Datos!U13+Datos!AI13))," - ")</f>
        <v>-0.11864406779661017</v>
      </c>
      <c r="E13" s="1001">
        <f>IF(ISNUMBER(
   IF(J_V="SI",(Datos!L13-Datos!V13)/Datos!V13,(Datos!L13+Datos!AB13-(Datos!V13+Datos!AJ13))/(Datos!V13+Datos!AJ13))
     ),IF(J_V="SI",(Datos!L13-Datos!V13)/Datos!V13,(Datos!L13+Datos!AB13-(Datos!V13+Datos!AJ13))/(Datos!V13+Datos!AJ13))," - ")</f>
        <v>0.37543114884584772</v>
      </c>
      <c r="F13" s="1002">
        <f>IF(ISNUMBER((Datos!M13-Datos!W13)/Datos!W13),(Datos!M13-Datos!W13)/Datos!W13," - ")</f>
        <v>-0.10312499999999999</v>
      </c>
      <c r="G13" s="1003">
        <f>IF(ISNUMBER((Datos!N13-Datos!X13)/Datos!X13),(Datos!N13-Datos!X13)/Datos!X13," - ")</f>
        <v>-0.14663143989431968</v>
      </c>
      <c r="H13" s="1003">
        <f>IF(ISNUMBER(((NºAsuntos!G13/NºAsuntos!E13)-Datos!BD13)/Datos!BD13),((NºAsuntos!G13/NºAsuntos!E13)-Datos!BD13)/Datos!BD13," - ")</f>
        <v>-0.22741900879639565</v>
      </c>
      <c r="I13" s="1003">
        <f>IF(ISNUMBER(((NºAsuntos!I13/NºAsuntos!G13)-Datos!BE13)/Datos!BE13),((NºAsuntos!I13/NºAsuntos!G13)-Datos!BE13)/Datos!BE13," - ")</f>
        <v>0.56058534195971188</v>
      </c>
      <c r="J13" s="1003">
        <f>IF(ISNUMBER((('Resol  Asuntos'!D13/NºAsuntos!G13)-Datos!BF13)/Datos!BF13),(('Resol  Asuntos'!D13/NºAsuntos!G13)-Datos!BF13)/Datos!BF13," - ")</f>
        <v>-0.56755031157421598</v>
      </c>
      <c r="K13" s="1003">
        <f>IF(ISNUMBER((((NºAsuntos!C13+NºAsuntos!E13)/NºAsuntos!G13)-Datos!BG13)/Datos!BG13),(((NºAsuntos!C13+NºAsuntos!E13)/NºAsuntos!G13)-Datos!BG13)/Datos!BG13," - ")</f>
        <v>0.45688099337142479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0.40052083333333333</v>
      </c>
      <c r="C15" s="472">
        <f>IF(ISNUMBER(
   IF(D_I="SI",(Datos!J15-Datos!T15)/Datos!T15,(Datos!J15+Datos!AD15-(Datos!T15+Datos!AL15))/(Datos!T15+Datos!AL15))
     ),IF(D_I="SI",(Datos!J15-Datos!T15)/Datos!T15,(Datos!J15+Datos!AD15-(Datos!T15+Datos!AL15))/(Datos!T15+Datos!AL15))," - ")</f>
        <v>0.16003743565746373</v>
      </c>
      <c r="D15" s="472">
        <f>IF(ISNUMBER(
   IF(D_I="SI",(Datos!K15-Datos!U15)/Datos!U15,(Datos!K15+Datos!AE15-(Datos!U15+Datos!AM15))/(Datos!U15+Datos!AM15))
     ),IF(D_I="SI",(Datos!K15-Datos!U15)/Datos!U15,(Datos!K15+Datos!AE15-(Datos!U15+Datos!AM15))/(Datos!U15+Datos!AM15))," - ")</f>
        <v>6.7079463364293088E-2</v>
      </c>
      <c r="E15" s="472">
        <f>IF(ISNUMBER(
   IF(D_I="SI",(Datos!L15-Datos!V15)/Datos!V15,(Datos!L15+Datos!AF15-(Datos!V15+Datos!AN15))/(Datos!V15+Datos!AN15))
     ),IF(D_I="SI",(Datos!L15-Datos!V15)/Datos!V15,(Datos!L15+Datos!AF15-(Datos!V15+Datos!AN15))/(Datos!V15+Datos!AN15))," - ")</f>
        <v>0.45945945945945948</v>
      </c>
      <c r="F15" s="472">
        <f>IF(ISNUMBER((Datos!M15-Datos!W15)/Datos!W15),(Datos!M15-Datos!W15)/Datos!W15," - ")</f>
        <v>2.9850746268656716E-2</v>
      </c>
      <c r="G15" s="473">
        <f>IF(ISNUMBER((Datos!N15-Datos!X15)/Datos!X15),(Datos!N15-Datos!X15)/Datos!X15," - ")</f>
        <v>0.11619047619047619</v>
      </c>
      <c r="H15" s="471">
        <f>IF(ISNUMBER(((NºAsuntos!G15/NºAsuntos!E15)-Datos!BD15)/Datos!BD15),((NºAsuntos!G15/NºAsuntos!E15)-Datos!BD15)/Datos!BD15," - ")</f>
        <v>-8.0133596930417883E-2</v>
      </c>
      <c r="I15" s="472">
        <f>IF(ISNUMBER(((NºAsuntos!I15/NºAsuntos!G15)-Datos!BE15)/Datos!BE15),((NºAsuntos!I15/NºAsuntos!G15)-Datos!BE15)/Datos!BE15," - ")</f>
        <v>0.36771394218202724</v>
      </c>
      <c r="J15" s="477">
        <f>IF(ISNUMBER((('Resol  Asuntos'!D15/NºAsuntos!G15)-Datos!BF15)/Datos!BF15),(('Resol  Asuntos'!D15/NºAsuntos!G15)-Datos!BF15)/Datos!BF15," - ")</f>
        <v>-3.48884205664136E-2</v>
      </c>
      <c r="K15" s="478">
        <f>IF(ISNUMBER((((NºAsuntos!C15+NºAsuntos!E15)/NºAsuntos!G15)-Datos!BG15)/Datos!BG15),(((NºAsuntos!C15+NºAsuntos!E15)/NºAsuntos!G15)-Datos!BG15)/Datos!BG15," - ")</f>
        <v>0.19377020590054</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v>
      </c>
      <c r="C16" s="472" t="str">
        <f>IF(ISNUMBER(
   IF(D_I="SI",(Datos!J16-Datos!T16)/Datos!T16,(Datos!J16+Datos!AD16-(Datos!T16+Datos!AL16))/(Datos!T16+Datos!AL16))
     ),IF(D_I="SI",(Datos!J16-Datos!T16)/Datos!T16,(Datos!J16+Datos!AD16-(Datos!T16+Datos!AL16))/(Datos!T16+Datos!AL16))," - ")</f>
        <v xml:space="preserve"> - </v>
      </c>
      <c r="D16" s="472">
        <f>IF(ISNUMBER(
   IF(D_I="SI",(Datos!K16-Datos!U16)/Datos!U16,(Datos!K16+Datos!AE16-(Datos!U16+Datos!AM16))/(Datos!U16+Datos!AM16))
     ),IF(D_I="SI",(Datos!K16-Datos!U16)/Datos!U16,(Datos!K16+Datos!AE16-(Datos!U16+Datos!AM16))/(Datos!U16+Datos!AM16))," - ")</f>
        <v>-1</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0.69444444444444442</v>
      </c>
      <c r="C17" s="472">
        <f>IF(ISNUMBER(
   IF(D_I="SI",(Datos!J17-Datos!T17)/Datos!T17,(Datos!J17+Datos!AD17-(Datos!T17+Datos!AL17))/(Datos!T17+Datos!AL17))
     ),IF(D_I="SI",(Datos!J17-Datos!T17)/Datos!T17,(Datos!J17+Datos!AD17-(Datos!T17+Datos!AL17))/(Datos!T17+Datos!AL17))," - ")</f>
        <v>-4.8951048951048952E-2</v>
      </c>
      <c r="D17" s="472">
        <f>IF(ISNUMBER(
   IF(D_I="SI",(Datos!K17-Datos!U17)/Datos!U17,(Datos!K17+Datos!AE17-(Datos!U17+Datos!AM17))/(Datos!U17+Datos!AM17))
     ),IF(D_I="SI",(Datos!K17-Datos!U17)/Datos!U17,(Datos!K17+Datos!AE17-(Datos!U17+Datos!AM17))/(Datos!U17+Datos!AM17))," - ")</f>
        <v>9.1954022988505746E-2</v>
      </c>
      <c r="E17" s="472">
        <f>IF(ISNUMBER(
   IF(D_I="SI",(Datos!L17-Datos!V17)/Datos!V17,(Datos!L17+Datos!AF17-(Datos!V17+Datos!AN17))/(Datos!V17+Datos!AN17))
     ),IF(D_I="SI",(Datos!L17-Datos!V17)/Datos!V17,(Datos!L17+Datos!AF17-(Datos!V17+Datos!AN17))/(Datos!V17+Datos!AN17))," - ")</f>
        <v>0.32659932659932661</v>
      </c>
      <c r="F17" s="472">
        <f>IF(ISNUMBER((Datos!M17-Datos!W17)/Datos!W17),(Datos!M17-Datos!W17)/Datos!W17," - ")</f>
        <v>0.5</v>
      </c>
      <c r="G17" s="473">
        <f>IF(ISNUMBER((Datos!N17-Datos!X17)/Datos!X17),(Datos!N17-Datos!X17)/Datos!X17," - ")</f>
        <v>-0.27149321266968324</v>
      </c>
      <c r="H17" s="471">
        <f>IF(ISNUMBER(((NºAsuntos!G17/NºAsuntos!E17)-Datos!BD17)/Datos!BD17),((NºAsuntos!G17/NºAsuntos!E17)-Datos!BD17)/Datos!BD17," - ")</f>
        <v>0.14815753887762009</v>
      </c>
      <c r="I17" s="472">
        <f>IF(ISNUMBER(((NºAsuntos!I17/NºAsuntos!G17)-Datos!BE17)/Datos!BE17),((NºAsuntos!I17/NºAsuntos!G17)-Datos!BE17)/Datos!BE17," - ")</f>
        <v>0.21488569909622532</v>
      </c>
      <c r="J17" s="477">
        <f>IF(ISNUMBER((('Resol  Asuntos'!D17/NºAsuntos!G17)-Datos!BF17)/Datos!BF17),(('Resol  Asuntos'!D17/NºAsuntos!G17)-Datos!BF17)/Datos!BF17," - ")</f>
        <v>0.37368421052631573</v>
      </c>
      <c r="K17" s="478">
        <f>IF(ISNUMBER((((NºAsuntos!C17+NºAsuntos!E17)/NºAsuntos!G17)-Datos!BG17)/Datos!BG17),(((NºAsuntos!C17+NºAsuntos!E17)/NºAsuntos!G17)-Datos!BG17)/Datos!BG17," - ")</f>
        <v>9.8947368421052589E-2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0.42890551917680075</v>
      </c>
      <c r="C18" s="1001">
        <f>IF(ISNUMBER(
   IF(Criterios!B14="SI",(Datos!J18-Datos!T18)/Datos!T18,(Datos!J18+Datos!AD18-(Datos!T18+Datos!AL18))/(Datos!T18+Datos!AL18))
     ),IF(Criterios!B14="SI",(Datos!J18-Datos!T18)/Datos!T18,(Datos!J18+Datos!AD18-(Datos!T18+Datos!AL18))/(Datos!T18+Datos!AL18))," - ")</f>
        <v>0.12509742790335152</v>
      </c>
      <c r="D18" s="1001">
        <f>IF(ISNUMBER(
   IF(Criterios!B14="SI",(Datos!K18-Datos!U18)/Datos!U18,(Datos!K18+Datos!AE18-(Datos!U18+Datos!AM18))/(Datos!U18+Datos!AM18))
     ),IF(Criterios!B14="SI",(Datos!K18-Datos!U18)/Datos!U18,(Datos!K18+Datos!AE18-(Datos!U18+Datos!AM18))/(Datos!U18+Datos!AM18))," - ")</f>
        <v>6.9930069930069935E-2</v>
      </c>
      <c r="E18" s="1001">
        <f>IF(ISNUMBER(
   IF(Criterios!B14="SI",(Datos!L18-Datos!V18)/Datos!V18,(Datos!L18+Datos!AF18-(Datos!V18+Datos!AN18))/(Datos!V18+Datos!AN18))
     ),IF(Criterios!B14="SI",(Datos!L18-Datos!V18)/Datos!V18,(Datos!L18+Datos!AF18-(Datos!V18+Datos!AN18))/(Datos!V18+Datos!AN18))," - ")</f>
        <v>0.44330740892345477</v>
      </c>
      <c r="F18" s="1002">
        <f>IF(ISNUMBER((Datos!M18-Datos!W18)/Datos!W18),(Datos!M18-Datos!W18)/Datos!W18," - ")</f>
        <v>9.5115681233933158E-2</v>
      </c>
      <c r="G18" s="1003">
        <f>IF(ISNUMBER((Datos!N18-Datos!X18)/Datos!X18),(Datos!N18-Datos!X18)/Datos!X18," - ")</f>
        <v>4.878048780487805E-2</v>
      </c>
      <c r="H18" s="1003">
        <f>IF(ISNUMBER(((NºAsuntos!G18/NºAsuntos!E18)-Datos!BD18)/Datos!BD18),((NºAsuntos!G18/NºAsuntos!E18)-Datos!BD18)/Datos!BD18," - ")</f>
        <v>-4.9033405112379913E-2</v>
      </c>
      <c r="I18" s="1003">
        <f>IF(ISNUMBER(((NºAsuntos!I18/NºAsuntos!G18)-Datos!BE18)/Datos!BE18),((NºAsuntos!I18/NºAsuntos!G18)-Datos!BE18)/Datos!BE18," - ")</f>
        <v>0.34897359134675843</v>
      </c>
      <c r="J18" s="1003">
        <f>IF(ISNUMBER((('Resol  Asuntos'!D18/NºAsuntos!G18)-Datos!BF18)/Datos!BF18),(('Resol  Asuntos'!D18/NºAsuntos!G18)-Datos!BF18)/Datos!BF18," - ")</f>
        <v>2.3539492917989718E-2</v>
      </c>
      <c r="K18" s="1003">
        <f>IF(ISNUMBER((((NºAsuntos!C18+NºAsuntos!E18)/NºAsuntos!G18)-Datos!BG18)/Datos!BG18),(((NºAsuntos!C18+NºAsuntos!E18)/NºAsuntos!G18)-Datos!BG18)/Datos!BG18," - ")</f>
        <v>0.1806194700102263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0.35241522189510416</v>
      </c>
      <c r="C19" s="948">
        <f>IF(ISNUMBER(
   IF(J_V="SI",(Datos!J19-Datos!T19)/Datos!T19,(Datos!J19+Datos!Z19-(Datos!T19+Datos!AH19))/(Datos!T19+Datos!AH19))
     ),IF(J_V="SI",(Datos!J19-Datos!T19)/Datos!T19,(Datos!J19+Datos!Z19-(Datos!T19+Datos!AH19))/(Datos!T19+Datos!AH19))," - ")</f>
        <v>0.13237139272271017</v>
      </c>
      <c r="D19" s="948">
        <f>IF(ISNUMBER(
   IF(J_V="SI",(Datos!K19-Datos!U19)/Datos!U19,(Datos!K19+Datos!AA19-(Datos!U19+Datos!AI19))/(Datos!U19+Datos!AI19))
     ),IF(J_V="SI",(Datos!K19-Datos!U19)/Datos!U19,(Datos!K19+Datos!AA19-(Datos!U19+Datos!AI19))/(Datos!U19+Datos!AI19))," - ")</f>
        <v>-1.0752688172043012E-2</v>
      </c>
      <c r="E19" s="948">
        <f>IF(ISNUMBER(
   IF(J_V="SI",(Datos!L19-Datos!V19)/Datos!V19,(Datos!L19+Datos!AB19-(Datos!V19+Datos!AJ19))/(Datos!V19+Datos!AJ19))
     ),IF(J_V="SI",(Datos!L19-Datos!V19)/Datos!V19,(Datos!L19+Datos!AB19-(Datos!V19+Datos!AJ19))/(Datos!V19+Datos!AJ19))," - ")</f>
        <v>0.39204488528203585</v>
      </c>
      <c r="F19" s="949">
        <f>IF(ISNUMBER((Datos!M19-Datos!W19)/Datos!W19),(Datos!M19-Datos!W19)/Datos!W19," - ")</f>
        <v>5.6417489421720732E-3</v>
      </c>
      <c r="G19" s="950">
        <f>IF(ISNUMBER((Datos!N19-Datos!X19)/Datos!X19),(Datos!N19-Datos!X19)/Datos!X19," - ")</f>
        <v>-2.4161735700197237E-2</v>
      </c>
      <c r="H19" s="951">
        <f>IF(ISNUMBER((Tasas!B19-Datos!BD19)/Datos!BD19),(Tasas!B19-Datos!BD19)/Datos!BD19," - ")</f>
        <v>-0.12639323265719485</v>
      </c>
      <c r="I19" s="952">
        <f>IF(ISNUMBER((Tasas!C19-Datos!BE19)/Datos!BE19),(Tasas!C19-Datos!BE19)/Datos!BE19," - ")</f>
        <v>0.40717580794814501</v>
      </c>
      <c r="J19" s="953">
        <f>IF(ISNUMBER((Tasas!D19-Datos!BF19)/Datos!BF19),(Tasas!D19-Datos!BF19)/Datos!BF19," - ")</f>
        <v>-0.36887040280210159</v>
      </c>
      <c r="K19" s="953">
        <f>IF(ISNUMBER((Tasas!E19-Datos!BG19)/Datos!BG19),(Tasas!E19-Datos!BG19)/Datos!BG19," - ")</f>
        <v>0.29088181129817792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q+5QrlXD6aZS8GtdxLwMIRSCiMb9dUevQNGovnydv0cz1eQ6uid2o1hS8P6qd6TwCoF7BDgacBT9M2/1OoFcA==" saltValue="qM0AUXM9b9tga0Ok2sca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ORIHUELA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0.59457302474062246</v>
      </c>
      <c r="C9" s="459">
        <f>IF(ISNUMBER(NºAsuntos!I9/NºAsuntos!G9),NºAsuntos!I9/NºAsuntos!G9," - ")</f>
        <v>6.8174496644295299</v>
      </c>
      <c r="D9" s="460">
        <f>IF(ISNUMBER('Resol  Asuntos'!D9/NºAsuntos!G9),'Resol  Asuntos'!D9/NºAsuntos!G9," - ")</f>
        <v>0.18657718120805369</v>
      </c>
      <c r="E9" s="461">
        <f>IF(ISNUMBER((NºAsuntos!C9+NºAsuntos!E9)/NºAsuntos!G9),(NºAsuntos!C9+NºAsuntos!E9)/NºAsuntos!G9," - ")</f>
        <v>7.8174496644295299</v>
      </c>
      <c r="G9" s="479"/>
    </row>
    <row r="10" spans="1:7">
      <c r="A10" s="413" t="str">
        <f>Datos!A10</f>
        <v>Jdos. Violencia contra la mujer</v>
      </c>
      <c r="B10" s="458">
        <f>IF(ISNUMBER(NºAsuntos!G10/NºAsuntos!E10),NºAsuntos!G10/NºAsuntos!E10," - ")</f>
        <v>0.81818181818181823</v>
      </c>
      <c r="C10" s="459">
        <f>IF(ISNUMBER(NºAsuntos!I10/NºAsuntos!G10),NºAsuntos!I10/NºAsuntos!G10," - ")</f>
        <v>11.666666666666666</v>
      </c>
      <c r="D10" s="460">
        <f>IF(ISNUMBER('Resol  Asuntos'!D10/NºAsuntos!G10),'Resol  Asuntos'!D10/NºAsuntos!G10," - ")</f>
        <v>0.5</v>
      </c>
      <c r="E10" s="461">
        <f>IF(ISNUMBER((NºAsuntos!C10+NºAsuntos!E10)/NºAsuntos!G10),(NºAsuntos!C10+NºAsuntos!E10)/NºAsuntos!G10," - ")</f>
        <v>12.666666666666666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0.59651898734177211</v>
      </c>
      <c r="C13" s="1005">
        <f>IF(ISNUMBER(NºAsuntos!I13/NºAsuntos!G13),NºAsuntos!I13/NºAsuntos!G13," - ")</f>
        <v>6.8753315649867375</v>
      </c>
      <c r="D13" s="1006">
        <f>IF(ISNUMBER('Resol  Asuntos'!D13/NºAsuntos!G13),'Resol  Asuntos'!D13/NºAsuntos!G13," - ")</f>
        <v>0.19031830238726791</v>
      </c>
      <c r="E13" s="1007">
        <f>IF(ISNUMBER((NºAsuntos!C13+NºAsuntos!E13)/NºAsuntos!G13),(NºAsuntos!C13+NºAsuntos!E13)/NºAsuntos!G13," - ")</f>
        <v>7.8753315649867375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0.83420734167002819</v>
      </c>
      <c r="C15" s="459">
        <f>IF(ISNUMBER(NºAsuntos!I15/NºAsuntos!G15),NºAsuntos!I15/NºAsuntos!G15," - ")</f>
        <v>1.5145067698259187</v>
      </c>
      <c r="D15" s="460">
        <f>IF(ISNUMBER('Resol  Asuntos'!D15/NºAsuntos!G15),'Resol  Asuntos'!D15/NºAsuntos!G15," - ")</f>
        <v>0.16682785299806577</v>
      </c>
      <c r="E15" s="461">
        <f>IF(ISNUMBER((NºAsuntos!C15+NºAsuntos!E15)/NºAsuntos!G15),(NºAsuntos!C15+NºAsuntos!E15)/NºAsuntos!G15," - ")</f>
        <v>2.4990328820116052</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0.93137254901960786</v>
      </c>
      <c r="C17" s="459">
        <f>IF(ISNUMBER(NºAsuntos!I17/NºAsuntos!G17),NºAsuntos!I17/NºAsuntos!G17," - ")</f>
        <v>1.0368421052631578</v>
      </c>
      <c r="D17" s="460">
        <f>IF(ISNUMBER('Resol  Asuntos'!D17/NºAsuntos!G17),'Resol  Asuntos'!D17/NºAsuntos!G17," - ")</f>
        <v>0.2131578947368421</v>
      </c>
      <c r="E17" s="461">
        <f>IF(ISNUMBER((NºAsuntos!C17+NºAsuntos!E17)/NºAsuntos!G17),(NºAsuntos!C17+NºAsuntos!E17)/NºAsuntos!G17," - ")</f>
        <v>2.0368421052631578</v>
      </c>
      <c r="G17" s="479"/>
    </row>
    <row r="18" spans="1:7" ht="14.25" thickTop="1" thickBot="1">
      <c r="A18" s="994" t="str">
        <f>Datos!A18</f>
        <v>TOTAL</v>
      </c>
      <c r="B18" s="1004">
        <f>IF(ISNUMBER(NºAsuntos!G18/NºAsuntos!E18),NºAsuntos!G18/NºAsuntos!E18," - ")</f>
        <v>0.8479390370626948</v>
      </c>
      <c r="C18" s="1005">
        <f>IF(ISNUMBER(NºAsuntos!I18/NºAsuntos!G18),NºAsuntos!I18/NºAsuntos!G18," - ")</f>
        <v>1.440359477124183</v>
      </c>
      <c r="D18" s="1008">
        <f>IF(ISNUMBER('Resol  Asuntos'!D18/NºAsuntos!G18),'Resol  Asuntos'!D18/NºAsuntos!G18," - ")</f>
        <v>0.17401960784313725</v>
      </c>
      <c r="E18" s="1007">
        <f>IF(ISNUMBER((NºAsuntos!C18+NºAsuntos!E18)/NºAsuntos!G18),(NºAsuntos!C18+NºAsuntos!E18)/NºAsuntos!G18," - ")</f>
        <v>2.4272875816993462</v>
      </c>
      <c r="G18" s="479"/>
    </row>
    <row r="19" spans="1:7" ht="15.75" customHeight="1" thickTop="1" thickBot="1">
      <c r="A19" s="939" t="str">
        <f>Datos!A19</f>
        <v>TOTAL JURISDICCIONES</v>
      </c>
      <c r="B19" s="954">
        <f>IF(ISNUMBER(NºAsuntos!G19/NºAsuntos!E19),NºAsuntos!G19/NºAsuntos!E19," - ")</f>
        <v>0.73056325023084023</v>
      </c>
      <c r="C19" s="955">
        <f>IF(ISNUMBER(NºAsuntos!I19/NºAsuntos!G19),NºAsuntos!I19/NºAsuntos!G19," - ")</f>
        <v>3.5121334681496461</v>
      </c>
      <c r="D19" s="956">
        <f>IF(ISNUMBER('Resol  Asuntos'!D19/NºAsuntos!G19),'Resol  Asuntos'!D19/NºAsuntos!G19," - ")</f>
        <v>0.18023255813953487</v>
      </c>
      <c r="E19" s="957">
        <f>IF(ISNUMBER((NºAsuntos!C19+NºAsuntos!E19)/NºAsuntos!G19),(NºAsuntos!C19+NºAsuntos!E19)/NºAsuntos!G19," - ")</f>
        <v>4.5040444893832152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0g49OC58D1MpvIna//APw8iQZr0GexQc83bJEdiMatY6SDwod183PkE9cCEEr2a9cxbacUamePX5Ta98qvoW3Q==" saltValue="4rTi41WLub/1Bx7FGYne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ORIHUELA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583</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842</v>
      </c>
      <c r="AX5" s="1415" t="s">
        <v>324</v>
      </c>
      <c r="AY5" s="1415" t="s">
        <v>753</v>
      </c>
      <c r="AZ5" s="1415" t="s">
        <v>754</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528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573</v>
      </c>
      <c r="Y9" s="343">
        <f>SUM(W9:X9)</f>
        <v>573</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14917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278</v>
      </c>
      <c r="AJ9" s="233" t="str">
        <f>IF(ISNUMBER(Datos!BW9),Datos!BW9," - ")</f>
        <v xml:space="preserve"> - </v>
      </c>
      <c r="AK9" s="232" t="str">
        <f>IF(ISNUMBER(Datos!BX9),Datos!BX9," - ")</f>
        <v xml:space="preserve"> - </v>
      </c>
      <c r="AL9" s="247">
        <f>IF(ISNUMBER(NºAsuntos!G9/NºAsuntos!E9),NºAsuntos!G9/NºAsuntos!E9," - ")</f>
        <v>0.59457302474062246</v>
      </c>
      <c r="AM9" s="264">
        <f>IF(ISNUMBER(((NºAsuntos!I9/NºAsuntos!G9)*11)/factor_trimestre),((NºAsuntos!I9/NºAsuntos!G9)*11)/factor_trimestre," - ")</f>
        <v>13.634899328859062</v>
      </c>
      <c r="AN9" s="248">
        <f>IF(ISNUMBER('Resol  Asuntos'!D9/NºAsuntos!G9),'Resol  Asuntos'!D9/NºAsuntos!G9," - ")</f>
        <v>0.18657718120805369</v>
      </c>
      <c r="AO9" s="249">
        <f>IF(ISNUMBER((NºAsuntos!C9+NºAsuntos!E9)/NºAsuntos!G9),(NºAsuntos!C9+NºAsuntos!E9)/NºAsuntos!G9," - ")</f>
        <v>7.8174496644295299</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206</v>
      </c>
      <c r="G10" s="342">
        <f>IF(ISNUMBER(Datos!I10),Datos!I10," - ")</f>
        <v>206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18</v>
      </c>
      <c r="X10" s="230">
        <f>IF(ISNUMBER(Datos!Q10),Datos!Q10," - ")</f>
        <v>83</v>
      </c>
      <c r="Y10" s="343">
        <f t="shared" ref="Y10:Y12" si="0">SUM(W10:X10)</f>
        <v>101</v>
      </c>
      <c r="Z10" s="344" t="str">
        <f>IF(ISNUMBER(Datos!CC10),Datos!CC10," - ")</f>
        <v xml:space="preserve"> - </v>
      </c>
      <c r="AA10" s="341">
        <f>IF(ISNUMBER(Datos!L10),Datos!L10,"-")</f>
        <v>210</v>
      </c>
      <c r="AB10" s="343">
        <f>IF(ISNUMBER(Datos!R10),Datos!R10," - ")</f>
        <v>122</v>
      </c>
      <c r="AC10" s="343">
        <f t="shared" ref="AC10:AC12" si="1">IF(ISNUMBER(AA10+AB10),AA10+AB10," - ")</f>
        <v>332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0.81818181818181823</v>
      </c>
      <c r="AM10" s="264">
        <f>IF(ISNUMBER(((NºAsuntos!I10/NºAsuntos!G10)*11)/factor_trimestre),((NºAsuntos!I10/NºAsuntos!G10)*11)/factor_trimestre," - ")</f>
        <v>23.333333333333329</v>
      </c>
      <c r="AN10" s="248">
        <f>IF(ISNUMBER('Resol  Asuntos'!D10/NºAsuntos!G10),'Resol  Asuntos'!D10/NºAsuntos!G10," - ")</f>
        <v>0.5</v>
      </c>
      <c r="AO10" s="249">
        <f>IF(ISNUMBER((NºAsuntos!C10+NºAsuntos!E10)/NºAsuntos!G10),(NºAsuntos!C10+NºAsuntos!E10)/NºAsuntos!G10," - ")</f>
        <v>12.666666666666666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206</v>
      </c>
      <c r="G13" s="1012">
        <f t="shared" si="3"/>
        <v>206</v>
      </c>
      <c r="H13" s="1011">
        <f t="shared" si="3"/>
        <v>0</v>
      </c>
      <c r="I13" s="1013">
        <f t="shared" si="3"/>
        <v>0</v>
      </c>
      <c r="J13" s="1013">
        <f t="shared" si="3"/>
        <v>0</v>
      </c>
      <c r="K13" s="1013">
        <f t="shared" si="3"/>
        <v>0</v>
      </c>
      <c r="L13" s="1013">
        <f t="shared" si="3"/>
        <v>534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18</v>
      </c>
      <c r="X13" s="1013">
        <f t="shared" si="4"/>
        <v>656</v>
      </c>
      <c r="Y13" s="1014">
        <f t="shared" si="4"/>
        <v>674</v>
      </c>
      <c r="Z13" s="1014">
        <f t="shared" si="4"/>
        <v>0</v>
      </c>
      <c r="AA13" s="1014">
        <f t="shared" si="4"/>
        <v>210</v>
      </c>
      <c r="AB13" s="1014">
        <f t="shared" si="4"/>
        <v>15039</v>
      </c>
      <c r="AC13" s="1014">
        <f t="shared" si="4"/>
        <v>332</v>
      </c>
      <c r="AD13" s="1014">
        <f t="shared" si="4"/>
        <v>0</v>
      </c>
      <c r="AE13" s="1018">
        <f t="shared" si="4"/>
        <v>0</v>
      </c>
      <c r="AF13" s="1011">
        <f t="shared" si="4"/>
        <v>0</v>
      </c>
      <c r="AG13" s="1019">
        <f t="shared" si="4"/>
        <v>0</v>
      </c>
      <c r="AH13" s="1016">
        <f t="shared" si="4"/>
        <v>0</v>
      </c>
      <c r="AI13" s="1011">
        <f t="shared" si="4"/>
        <v>287</v>
      </c>
      <c r="AJ13" s="1013">
        <f t="shared" si="4"/>
        <v>0</v>
      </c>
      <c r="AK13" s="1016">
        <f>SUBTOTAL(9,AK9:AK12)</f>
        <v>0</v>
      </c>
      <c r="AL13" s="1020">
        <f>IF(ISNUMBER(NºAsuntos!G13/NºAsuntos!E13),NºAsuntos!G13/NºAsuntos!E13," - ")</f>
        <v>0.59651898734177211</v>
      </c>
      <c r="AM13" s="1020">
        <f>IF(ISNUMBER(((NºAsuntos!I13/NºAsuntos!G13)*11)/factor_trimestre),((NºAsuntos!I13/NºAsuntos!G13)*11)/factor_trimestre," - ")</f>
        <v>13.750663129973475</v>
      </c>
      <c r="AN13" s="1021">
        <f>IF(ISNUMBER('Resol  Asuntos'!D13/NºAsuntos!G13),'Resol  Asuntos'!D13/NºAsuntos!G13," - ")</f>
        <v>0.19031830238726791</v>
      </c>
      <c r="AO13" s="1022">
        <f>IF(ISNUMBER((NºAsuntos!C13+NºAsuntos!E13)/NºAsuntos!G13),(NºAsuntos!C13+NºAsuntos!E13)/NºAsuntos!G13," - ")</f>
        <v>7.8753315649867375</v>
      </c>
      <c r="AP13" s="1023" t="str">
        <f t="shared" si="2"/>
        <v xml:space="preserve"> - </v>
      </c>
      <c r="AQ13" s="1023">
        <f>IF(ISNUMBER((H13-W13+K13)/(F13)),(H13-W13+K13)/(F13)," - ")</f>
        <v>-8.7378640776699032E-2</v>
      </c>
      <c r="AR13" s="1024">
        <f>IF(ISNUMBER((Datos!P13-Datos!Q13)/(Datos!R13-Datos!P13+Datos!Q13)),(Datos!P13-Datos!Q13)/(Datos!R13-Datos!P13+Datos!Q13)," - ")</f>
        <v>-8.0469626014115156E-3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2721</v>
      </c>
      <c r="G15" s="342">
        <f>IF(ISNUMBER(IF(D_I="SI",Datos!I15,Datos!I15+Datos!AC15)),IF(D_I="SI",Datos!I15,Datos!I15+Datos!AC15)," - ")</f>
        <v>2689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78</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2068</v>
      </c>
      <c r="X15" s="230">
        <f>IF(ISNUMBER(Datos!Q15),Datos!Q15," - ")</f>
        <v>55</v>
      </c>
      <c r="Y15" s="343">
        <f>SUM(W15)</f>
        <v>2068</v>
      </c>
      <c r="Z15" s="344" t="str">
        <f>IF(ISNUMBER(Datos!CC15),Datos!CC15," - ")</f>
        <v xml:space="preserve"> - </v>
      </c>
      <c r="AA15" s="341">
        <f>IF(ISNUMBER(IF(D_I="SI",Datos!L15,Datos!L15+Datos!AF15)),IF(D_I="SI",Datos!L15,Datos!L15+Datos!AF15)," - ")</f>
        <v>3132</v>
      </c>
      <c r="AB15" s="343">
        <f>IF(ISNUMBER(Datos!R15),Datos!R15," - ")</f>
        <v>271</v>
      </c>
      <c r="AC15" s="343">
        <f t="shared" ref="AC15:AC17" si="6">IF(ISNUMBER(AA15+AB15),AA15+AB15," - ")</f>
        <v>3403</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345</v>
      </c>
      <c r="AJ15" s="235" t="str">
        <f>IF(ISNUMBER(Datos!BW15),Datos!BW15," - ")</f>
        <v xml:space="preserve"> - </v>
      </c>
      <c r="AK15" s="236" t="str">
        <f>IF(ISNUMBER(Datos!BX15),Datos!BX15," - ")</f>
        <v xml:space="preserve"> - </v>
      </c>
      <c r="AL15" s="247">
        <f>IF(ISNUMBER(NºAsuntos!G15/NºAsuntos!E15),NºAsuntos!G15/NºAsuntos!E15," - ")</f>
        <v>0.83420734167002819</v>
      </c>
      <c r="AM15" s="264">
        <f>IF(ISNUMBER(((NºAsuntos!I15/NºAsuntos!G15)*11)/factor_trimestre),((NºAsuntos!I15/NºAsuntos!G15)*11)/factor_trimestre," - ")</f>
        <v>3.029013539651837</v>
      </c>
      <c r="AN15" s="248">
        <f>IF(ISNUMBER('Resol  Asuntos'!D15/NºAsuntos!G15),'Resol  Asuntos'!D15/NºAsuntos!G15," - ")</f>
        <v>0.16682785299806577</v>
      </c>
      <c r="AO15" s="249">
        <f>IF(ISNUMBER((NºAsuntos!C15+NºAsuntos!E15)/NºAsuntos!G15),(NºAsuntos!C15+NºAsuntos!E15)/NºAsuntos!G15," - ")</f>
        <v>2.4990328820116052</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0</v>
      </c>
      <c r="G16" s="342">
        <f>IF(ISNUMBER(IF(D_I="SI",Datos!I16,Datos!I16+Datos!AC16)),IF(D_I="SI",Datos!I16,Datos!I16+Datos!AC16)," - ")</f>
        <v>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0</v>
      </c>
      <c r="AB16" s="343">
        <f>IF(ISNUMBER(Datos!R16),Datos!R16," - ")</f>
        <v>0</v>
      </c>
      <c r="AC16" s="343">
        <f t="shared" si="6"/>
        <v>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366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9</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380</v>
      </c>
      <c r="X17" s="230">
        <f>IF(ISNUMBER(Datos!Q17),Datos!Q17," - ")</f>
        <v>9</v>
      </c>
      <c r="Y17" s="343">
        <f t="shared" si="7"/>
        <v>389</v>
      </c>
      <c r="Z17" s="344" t="str">
        <f>IF(ISNUMBER(Datos!CC17),Datos!CC17," - ")</f>
        <v xml:space="preserve"> - </v>
      </c>
      <c r="AA17" s="341">
        <f>IF(ISNUMBER(Datos!L17),Datos!L17,"-")</f>
        <v>394</v>
      </c>
      <c r="AB17" s="343">
        <f>IF(ISNUMBER(Datos!R17),Datos!R17," - ")</f>
        <v>20</v>
      </c>
      <c r="AC17" s="343">
        <f t="shared" si="6"/>
        <v>414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81</v>
      </c>
      <c r="AJ17" s="235" t="str">
        <f>IF(ISNUMBER(Datos!BW17),Datos!BW17," - ")</f>
        <v xml:space="preserve"> - </v>
      </c>
      <c r="AK17" s="236" t="str">
        <f>IF(ISNUMBER(Datos!BX17),Datos!BX17," - ")</f>
        <v xml:space="preserve"> - </v>
      </c>
      <c r="AL17" s="247">
        <f>IF(ISNUMBER(NºAsuntos!G17/NºAsuntos!E17),NºAsuntos!G17/NºAsuntos!E17," - ")</f>
        <v>0.93137254901960786</v>
      </c>
      <c r="AM17" s="264">
        <f>IF(ISNUMBER(((NºAsuntos!I17/NºAsuntos!G17)*11)/factor_trimestre),((NºAsuntos!I17/NºAsuntos!G17)*11)/factor_trimestre," - ")</f>
        <v>2.0736842105263156</v>
      </c>
      <c r="AN17" s="248">
        <f>IF(ISNUMBER('Resol  Asuntos'!D17/NºAsuntos!G17),'Resol  Asuntos'!D17/NºAsuntos!G17," - ")</f>
        <v>0.2131578947368421</v>
      </c>
      <c r="AO17" s="249">
        <f>IF(ISNUMBER((NºAsuntos!C17+NºAsuntos!E17)/NºAsuntos!G17),(NºAsuntos!C17+NºAsuntos!E17)/NºAsuntos!G17," - ")</f>
        <v>2.0368421052631578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2721</v>
      </c>
      <c r="G18" s="1012">
        <f>SUBTOTAL(9,G15:G17)</f>
        <v>3055</v>
      </c>
      <c r="H18" s="1011">
        <f t="shared" ref="H18:O18" si="10">SUBTOTAL(9,H14:H17)</f>
        <v>0</v>
      </c>
      <c r="I18" s="1013">
        <f t="shared" si="10"/>
        <v>0</v>
      </c>
      <c r="J18" s="1013">
        <f t="shared" si="10"/>
        <v>0</v>
      </c>
      <c r="K18" s="1013">
        <f t="shared" si="10"/>
        <v>0</v>
      </c>
      <c r="L18" s="1013">
        <f t="shared" si="10"/>
        <v>87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2448</v>
      </c>
      <c r="X18" s="1013">
        <f t="shared" si="11"/>
        <v>64</v>
      </c>
      <c r="Y18" s="1014">
        <f t="shared" si="11"/>
        <v>2457</v>
      </c>
      <c r="Z18" s="1014">
        <f t="shared" si="11"/>
        <v>0</v>
      </c>
      <c r="AA18" s="1014">
        <f t="shared" si="11"/>
        <v>3526</v>
      </c>
      <c r="AB18" s="1014">
        <f t="shared" si="11"/>
        <v>291</v>
      </c>
      <c r="AC18" s="1014">
        <f t="shared" si="11"/>
        <v>3817</v>
      </c>
      <c r="AD18" s="1014">
        <f t="shared" si="11"/>
        <v>0</v>
      </c>
      <c r="AE18" s="1018">
        <f t="shared" si="11"/>
        <v>0</v>
      </c>
      <c r="AF18" s="1011">
        <f t="shared" si="11"/>
        <v>0</v>
      </c>
      <c r="AG18" s="1019">
        <f t="shared" si="11"/>
        <v>0</v>
      </c>
      <c r="AH18" s="1016">
        <f t="shared" si="11"/>
        <v>0</v>
      </c>
      <c r="AI18" s="1011">
        <f t="shared" si="11"/>
        <v>426</v>
      </c>
      <c r="AJ18" s="1013">
        <f t="shared" si="11"/>
        <v>0</v>
      </c>
      <c r="AK18" s="1016">
        <f t="shared" si="11"/>
        <v>0</v>
      </c>
      <c r="AL18" s="1020">
        <f>IF(ISNUMBER(NºAsuntos!G18/NºAsuntos!E18),NºAsuntos!G18/NºAsuntos!E18," - ")</f>
        <v>0.8479390370626948</v>
      </c>
      <c r="AM18" s="1020">
        <f>IF(ISNUMBER(((NºAsuntos!I18/NºAsuntos!G18)*11)/factor_trimestre),((NºAsuntos!I18/NºAsuntos!G18)*11)/factor_trimestre," - ")</f>
        <v>2.880718954248366</v>
      </c>
      <c r="AN18" s="1021">
        <f>IF(ISNUMBER('Resol  Asuntos'!D18/NºAsuntos!G18),'Resol  Asuntos'!D18/NºAsuntos!G18," - ")</f>
        <v>0.17401960784313725</v>
      </c>
      <c r="AO18" s="1022">
        <f>IF(ISNUMBER((NºAsuntos!C18+NºAsuntos!E18)/NºAsuntos!G18),(NºAsuntos!C18+NºAsuntos!E18)/NºAsuntos!G18," - ")</f>
        <v>2.4272875816993462</v>
      </c>
      <c r="AP18" s="1023" t="str">
        <f t="shared" si="2"/>
        <v xml:space="preserve"> - </v>
      </c>
      <c r="AQ18" s="1023">
        <f>IF(ISNUMBER((H18-W18+K18)/(F18)),(H18-W18+K18)/(F18)," - ")</f>
        <v>-0.89966923925027564</v>
      </c>
      <c r="AR18" s="1024">
        <f>IF(ISNUMBER((Datos!P18-Datos!Q18)/(Datos!R18-Datos!P18+Datos!Q18)),(Datos!P18-Datos!Q18)/(Datos!R18-Datos!P18+Datos!Q18)," - ")</f>
        <v>8.5820895522388058E-2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2927</v>
      </c>
      <c r="G19" s="967">
        <f t="shared" si="13"/>
        <v>3261</v>
      </c>
      <c r="H19" s="966">
        <f t="shared" si="13"/>
        <v>0</v>
      </c>
      <c r="I19" s="968">
        <f t="shared" si="13"/>
        <v>0</v>
      </c>
      <c r="J19" s="968">
        <f t="shared" si="13"/>
        <v>0</v>
      </c>
      <c r="K19" s="1027">
        <f t="shared" si="13"/>
        <v>0</v>
      </c>
      <c r="L19" s="968">
        <f t="shared" si="13"/>
        <v>621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2466</v>
      </c>
      <c r="X19" s="967">
        <f t="shared" si="14"/>
        <v>720</v>
      </c>
      <c r="Y19" s="974">
        <f t="shared" si="14"/>
        <v>3131</v>
      </c>
      <c r="Z19" s="974">
        <f t="shared" si="14"/>
        <v>0</v>
      </c>
      <c r="AA19" s="974">
        <f t="shared" si="14"/>
        <v>3736</v>
      </c>
      <c r="AB19" s="974">
        <f t="shared" si="14"/>
        <v>15330</v>
      </c>
      <c r="AC19" s="974">
        <f t="shared" si="14"/>
        <v>4149</v>
      </c>
      <c r="AD19" s="974">
        <f t="shared" si="14"/>
        <v>0</v>
      </c>
      <c r="AE19" s="976">
        <f t="shared" si="14"/>
        <v>0</v>
      </c>
      <c r="AF19" s="977">
        <f t="shared" si="14"/>
        <v>0</v>
      </c>
      <c r="AG19" s="978">
        <f t="shared" si="14"/>
        <v>0</v>
      </c>
      <c r="AH19" s="976">
        <f t="shared" si="14"/>
        <v>0</v>
      </c>
      <c r="AI19" s="966">
        <f t="shared" si="14"/>
        <v>713</v>
      </c>
      <c r="AJ19" s="966">
        <f t="shared" si="14"/>
        <v>0</v>
      </c>
      <c r="AK19" s="976">
        <f t="shared" si="14"/>
        <v>0</v>
      </c>
      <c r="AL19" s="1030">
        <f>IF(ISNUMBER(NºAsuntos!G19/NºAsuntos!E19),NºAsuntos!G19/NºAsuntos!E19," - ")</f>
        <v>0.73056325023084023</v>
      </c>
      <c r="AM19" s="1031">
        <f>IF(ISNUMBER(((NºAsuntos!I19/NºAsuntos!G19)*11)/factor_trimestre),((NºAsuntos!I19/NºAsuntos!G19)*11)/factor_trimestre," - ")</f>
        <v>7.0242669362992922</v>
      </c>
      <c r="AN19" s="1031">
        <f>IF(ISNUMBER('Resol  Asuntos'!D19/NºAsuntos!G19),'Resol  Asuntos'!D19/NºAsuntos!G19," - ")</f>
        <v>0.18023255813953487</v>
      </c>
      <c r="AO19" s="1032">
        <f>IF(ISNUMBER((NºAsuntos!C19+NºAsuntos!E19)/NºAsuntos!G19),(NºAsuntos!C19+NºAsuntos!E19)/NºAsuntos!G19," - ")</f>
        <v>4.5040444893832152</v>
      </c>
      <c r="AP19" s="1033" t="str">
        <f t="shared" si="2"/>
        <v xml:space="preserve"> - </v>
      </c>
      <c r="AQ19" s="1034">
        <f>IF(OR(ISNUMBER(FIND("01",Criterios!A8,1)),ISNUMBER(FIND("02",Criterios!A8,1)),ISNUMBER(FIND("03",Criterios!A8,1)),ISNUMBER(FIND("04",Criterios!A8,1))),(I19-W19+K19)/(F19-K19),(H19-W19+K19)/(F19-K19))</f>
        <v>-0.84250085411684317</v>
      </c>
      <c r="AR19" s="1035">
        <f>IF(ISNUMBER((Datos!P19-Datos!Q19)/(Datos!R19-Datos!P19+Datos!Q19)),(Datos!P19-Datos!Q19)/(Datos!R19-Datos!P19+Datos!Q19)," - ")</f>
        <v>-6.4164884308769198E-3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1087</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2.6977356760397742</v>
      </c>
      <c r="F21" s="256">
        <f>IF(ISNUMBER(STDEV(F8:F18)),STDEV(F8:F18),"-")</f>
        <v>1417.6292533663377</v>
      </c>
      <c r="G21" s="257">
        <f>IF(ISNUMBER(STDEV(G8:G18)),STDEV(G8:G18),"-")</f>
        <v>1392.3476577349495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1127.8538912465567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171.41539631911158</v>
      </c>
      <c r="AJ21" s="256">
        <f t="shared" si="18"/>
        <v>0</v>
      </c>
      <c r="AK21" s="258">
        <f t="shared" si="18"/>
        <v>0</v>
      </c>
      <c r="AL21" s="253">
        <f t="shared" si="18"/>
        <v>0.14101677126380333</v>
      </c>
      <c r="AM21" s="254">
        <f t="shared" si="18"/>
        <v>8.5660069598429871</v>
      </c>
      <c r="AN21" s="254">
        <f t="shared" si="18"/>
        <v>0.12910193134502135</v>
      </c>
      <c r="AO21" s="255">
        <f t="shared" si="18"/>
        <v>4.2875546735298284</v>
      </c>
      <c r="AP21" s="295" t="str">
        <f t="shared" si="18"/>
        <v>-</v>
      </c>
      <c r="AQ21" s="296">
        <f t="shared" si="18"/>
        <v>0.5743761904747452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PcsgQn6hkEREBR6bjAuXc6mggnY7D3FRMjZw2bNAgGqh78EjAOyIcqdzqBIbpG+I70UsNgETrnboDZbujKoszQ==" saltValue="rfaeXK8ns6wRjSY+GMxA9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ORIHUELA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-0.11182108626198083</v>
      </c>
      <c r="I9" s="359">
        <f>IF(ISNUMBER((Tasas!C9-Datos!BE9)/Datos!BE9),(Tasas!C9-Datos!BE9)/Datos!BE9," - ")</f>
        <v>0.56273653010035729</v>
      </c>
      <c r="J9" s="358">
        <f>IF(ISNUMBER((Tasas!D9-Datos!BF9)/Datos!BF9),(Tasas!D9-Datos!BF9)/Datos!BF9," - ")</f>
        <v>-0.57707504903107398</v>
      </c>
      <c r="K9" s="360">
        <f>IF(ISNUMBER((Tasas!E9-Datos!BG9)/Datos!BG9),(Tasas!E9-Datos!BG9)/Datos!BG9," - ")</f>
        <v>0.45779746168398061</v>
      </c>
      <c r="M9" t="e">
        <f>IF(Monitorios="SI",Datos!CE9,0)</f>
        <v>#REF!</v>
      </c>
      <c r="N9" t="e">
        <f>IF(Monitorios="SI",Datos!CF9,0)</f>
        <v>#REF!</v>
      </c>
      <c r="O9" t="e">
        <f>IF(Monitorios="SI",Datos!CG9,0)</f>
        <v>#REF!</v>
      </c>
      <c r="P9" t="e">
        <f>IF(Monitorios="SI",Datos!CH9,0)</f>
        <v>#REF!</v>
      </c>
      <c r="Q9">
        <f>IF(J_V="SI",0,Datos!AG9)</f>
        <v>351</v>
      </c>
      <c r="R9">
        <f>IF(J_V="SI",0,Datos!AH9)</f>
        <v>211</v>
      </c>
      <c r="S9">
        <f>IF(J_V="SI",0,Datos!AI9)</f>
        <v>181</v>
      </c>
      <c r="T9">
        <f>IF(J_V="SI",0,Datos!AJ9)</f>
        <v>381</v>
      </c>
    </row>
    <row r="10" spans="2:20" ht="14.25">
      <c r="B10" s="279" t="s">
        <v>249</v>
      </c>
      <c r="C10" s="7" t="str">
        <f>Datos!A10</f>
        <v>Jdos. Violencia contra la mujer</v>
      </c>
      <c r="D10" s="361">
        <f>IF(ISNUMBER((Datos!I10-Datos!S10)/Datos!S10),(Datos!I10-Datos!S10)/Datos!S10," - ")</f>
        <v>0.44055944055944057</v>
      </c>
      <c r="E10" s="357">
        <f>IF(ISNUMBER((Datos!J10-Datos!T10)/Datos!T10),(Datos!J10-Datos!T10)/Datos!T10," - ")</f>
        <v>-0.42105263157894735</v>
      </c>
      <c r="F10" s="357">
        <f>IF(ISNUMBER((Datos!K10-Datos!U10)/Datos!U10),(Datos!K10-Datos!U10)/Datos!U10," - ")</f>
        <v>-0.1</v>
      </c>
      <c r="G10" s="358">
        <f>IF(ISNUMBER((Datos!L10-Datos!V10)/Datos!V10),(Datos!L10-Datos!V10)/Datos!V10," - ")</f>
        <v>0.30434782608695654</v>
      </c>
      <c r="H10" s="234">
        <f>IF(ISNUMBER((Datos!M10-Datos!W10)/Datos!W10),(Datos!M10-Datos!W10)/Datos!W10," - ")</f>
        <v>0.2857142857142857</v>
      </c>
      <c r="I10" s="359">
        <f>IF(ISNUMBER((Tasas!C10-Datos!BE10)/Datos!BE10),(Tasas!C10-Datos!BE10)/Datos!BE10," - ")</f>
        <v>0.44927536231884035</v>
      </c>
      <c r="J10" s="358">
        <f>IF(ISNUMBER((Tasas!D10-Datos!BF10)/Datos!BF10),(Tasas!D10-Datos!BF10)/Datos!BF10," - ")</f>
        <v>0.42857142857142866</v>
      </c>
      <c r="K10" s="360">
        <f>IF(ISNUMBER((Tasas!E10-Datos!BG10)/Datos!BG10),(Tasas!E10-Datos!BG10)/Datos!BG10," - ")</f>
        <v>0.39963167587476961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-0.10312499999999999</v>
      </c>
      <c r="I13" s="366">
        <f>IF(ISNUMBER((Tasas!C13-Datos!BE13)/Datos!BE13),(Tasas!C13-Datos!BE13)/Datos!BE13," - ")</f>
        <v>0.56058534195971188</v>
      </c>
      <c r="J13" s="364">
        <f>IF(ISNUMBER((Tasas!D13-Datos!BF13)/Datos!BF13),(Tasas!D13-Datos!BF13)/Datos!BF13," - ")</f>
        <v>-0.56755031157421598</v>
      </c>
      <c r="K13" s="367">
        <f>IF(ISNUMBER((Tasas!E13-Datos!BG13)/Datos!BG13),(Tasas!E13-Datos!BG13)/Datos!BG13," - ")</f>
        <v>0.45688099337142479</v>
      </c>
      <c r="M13" t="e">
        <f>IF(Monitorios="SI",Datos!CE13,0)</f>
        <v>#REF!</v>
      </c>
      <c r="N13" t="e">
        <f>IF(Monitorios="SI",Datos!CF13,0)</f>
        <v>#REF!</v>
      </c>
      <c r="O13" t="e">
        <f>IF(Monitorios="SI",Datos!CG13,0)</f>
        <v>#REF!</v>
      </c>
      <c r="P13" t="e">
        <f>IF(Monitorios="SI",Datos!CH13,0)</f>
        <v>#REF!</v>
      </c>
      <c r="Q13">
        <f>IF(J_V="SI",0,Datos!AG13)</f>
        <v>351</v>
      </c>
      <c r="R13">
        <f>IF(J_V="SI",0,Datos!AH13)</f>
        <v>211</v>
      </c>
      <c r="S13">
        <f>IF(J_V="SI",0,Datos!AI13)</f>
        <v>181</v>
      </c>
      <c r="T13">
        <f>IF(J_V="SI",0,Datos!AJ13)</f>
        <v>381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0.40052083333333333</v>
      </c>
      <c r="E15" s="357">
        <f>IF(ISNUMBER(
   IF(D_I="SI",(Datos!J15-Datos!T15)/Datos!T15,(Datos!J15+Datos!AD15-(Datos!T15+Datos!AL15))/(Datos!T15+Datos!AL15))
     ),IF(D_I="SI",(Datos!J15-Datos!T15)/Datos!T15,(Datos!J15+Datos!AD15-(Datos!T15+Datos!AL15))/(Datos!T15+Datos!AL15))," - ")</f>
        <v>0.16003743565746373</v>
      </c>
      <c r="F15" s="357">
        <f>IF(ISNUMBER(
   IF(D_I="SI",(Datos!K15-Datos!U15)/Datos!U15,(Datos!K15+Datos!AE15-(Datos!U15+Datos!AM15))/(Datos!U15+Datos!AM15))
     ),IF(D_I="SI",(Datos!K15-Datos!U15)/Datos!U15,(Datos!K15+Datos!AE15-(Datos!U15+Datos!AM15))/(Datos!U15+Datos!AM15))," - ")</f>
        <v>6.7079463364293088E-2</v>
      </c>
      <c r="G15" s="358">
        <f>IF(ISNUMBER(
   IF(D_I="SI",(Datos!L15-Datos!V15)/Datos!V15,(Datos!L15+Datos!AF15-(Datos!V15+Datos!AN15))/(Datos!V15+Datos!AN15))
     ),IF(D_I="SI",(Datos!L15-Datos!V15)/Datos!V15,(Datos!L15+Datos!AF15-(Datos!V15+Datos!AN15))/(Datos!V15+Datos!AN15))," - ")</f>
        <v>0.45945945945945948</v>
      </c>
      <c r="H15" s="234">
        <f>IF(ISNUMBER((Datos!M15-Datos!W15)/Datos!W15),(Datos!M15-Datos!W15)/Datos!W15," - ")</f>
        <v>2.9850746268656716E-2</v>
      </c>
      <c r="I15" s="359">
        <f>IF(ISNUMBER((Tasas!C15-Datos!BE15)/Datos!BE15),(Tasas!C15-Datos!BE15)/Datos!BE15," - ")</f>
        <v>0.36771394218202724</v>
      </c>
      <c r="J15" s="358">
        <f>IF(ISNUMBER((Tasas!D15-Datos!BF15)/Datos!BF15),(Tasas!D15-Datos!BF15)/Datos!BF15," - ")</f>
        <v>-3.48884205664136E-2</v>
      </c>
      <c r="K15" s="360">
        <f>IF(ISNUMBER((Tasas!E15-Datos!BG15)/Datos!BG15),(Tasas!E15-Datos!BG15)/Datos!BG15," - ")</f>
        <v>0.19377020590054</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v>
      </c>
      <c r="E16" s="357" t="str">
        <f>IF(ISNUMBER(
   IF(D_I="SI",(Datos!J16-Datos!T16)/Datos!T16,(Datos!J16+Datos!AD16-(Datos!T16+Datos!AL16))/(Datos!T16+Datos!AL16))
     ),IF(D_I="SI",(Datos!J16-Datos!T16)/Datos!T16,(Datos!J16+Datos!AD16-(Datos!T16+Datos!AL16))/(Datos!T16+Datos!AL16))," - ")</f>
        <v xml:space="preserve"> - </v>
      </c>
      <c r="F16" s="357">
        <f>IF(ISNUMBER(
   IF(D_I="SI",(Datos!K16-Datos!U16)/Datos!U16,(Datos!K16+Datos!AE16-(Datos!U16+Datos!AM16))/(Datos!U16+Datos!AM16))
     ),IF(D_I="SI",(Datos!K16-Datos!U16)/Datos!U16,(Datos!K16+Datos!AE16-(Datos!U16+Datos!AM16))/(Datos!U16+Datos!AM16))," - ")</f>
        <v>-1</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0.69444444444444442</v>
      </c>
      <c r="E17" s="357">
        <f>IF(ISNUMBER(
   IF(D_I="SI",(Datos!J17-Datos!T17)/Datos!T17,(Datos!J17+Datos!AD17-(Datos!T17+Datos!AL17))/(Datos!T17+Datos!AL17))
     ),IF(D_I="SI",(Datos!J17-Datos!T17)/Datos!T17,(Datos!J17+Datos!AD17-(Datos!T17+Datos!AL17))/(Datos!T17+Datos!AL17))," - ")</f>
        <v>-4.8951048951048952E-2</v>
      </c>
      <c r="F17" s="357">
        <f>IF(ISNUMBER(
   IF(D_I="SI",(Datos!K17-Datos!U17)/Datos!U17,(Datos!K17+Datos!AE17-(Datos!U17+Datos!AM17))/(Datos!U17+Datos!AM17))
     ),IF(D_I="SI",(Datos!K17-Datos!U17)/Datos!U17,(Datos!K17+Datos!AE17-(Datos!U17+Datos!AM17))/(Datos!U17+Datos!AM17))," - ")</f>
        <v>9.1954022988505746E-2</v>
      </c>
      <c r="G17" s="358">
        <f>IF(ISNUMBER(
   IF(D_I="SI",(Datos!L17-Datos!V17)/Datos!V17,(Datos!L17+Datos!AF17-(Datos!V17+Datos!AN17))/(Datos!V17+Datos!AN17))
     ),IF(D_I="SI",(Datos!L17-Datos!V17)/Datos!V17,(Datos!L17+Datos!AF17-(Datos!V17+Datos!AN17))/(Datos!V17+Datos!AN17))," - ")</f>
        <v>0.32659932659932661</v>
      </c>
      <c r="H17" s="234">
        <f>IF(ISNUMBER((Datos!M17-Datos!W17)/Datos!W17),(Datos!M17-Datos!W17)/Datos!W17," - ")</f>
        <v>0.5</v>
      </c>
      <c r="I17" s="359">
        <f>IF(ISNUMBER((Tasas!C17-Datos!BE17)/Datos!BE17),(Tasas!C17-Datos!BE17)/Datos!BE17," - ")</f>
        <v>0.21488569909622532</v>
      </c>
      <c r="J17" s="358">
        <f>IF(ISNUMBER((Tasas!D17-Datos!BF17)/Datos!BF17),(Tasas!D17-Datos!BF17)/Datos!BF17," - ")</f>
        <v>0.37368421052631573</v>
      </c>
      <c r="K17" s="360">
        <f>IF(ISNUMBER((Tasas!E17-Datos!BG17)/Datos!BG17),(Tasas!E17-Datos!BG17)/Datos!BG17," - ")</f>
        <v>9.8947368421052589E-2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0.42890551917680075</v>
      </c>
      <c r="E18" s="363">
        <f>IF(ISNUMBER(
   IF(D_I="SI",(Datos!J18-Datos!T18)/Datos!T18,(Datos!J18+Datos!AD18-(Datos!T18+Datos!AL18))/(Datos!T18+Datos!AL18))
     ),IF(D_I="SI",(Datos!J18-Datos!T18)/Datos!T18,(Datos!J18+Datos!AD18-(Datos!T18+Datos!AL18))/(Datos!T18+Datos!AL18))," - ")</f>
        <v>0.12509742790335152</v>
      </c>
      <c r="F18" s="363">
        <f>IF(ISNUMBER(
   IF(D_I="SI",(Datos!K18-Datos!U18)/Datos!U18,(Datos!K18+Datos!AE18-(Datos!U18+Datos!AM18))/(Datos!U18+Datos!AM18))
     ),IF(D_I="SI",(Datos!K18-Datos!U18)/Datos!U18,(Datos!K18+Datos!AE18-(Datos!U18+Datos!AM18))/(Datos!U18+Datos!AM18))," - ")</f>
        <v>6.9930069930069935E-2</v>
      </c>
      <c r="G18" s="364">
        <f>IF(ISNUMBER(
   IF(D_I="SI",(Datos!L18-Datos!V18)/Datos!V18,(Datos!L18+Datos!AF18-(Datos!V18+Datos!AN18))/(Datos!V18+Datos!AN18))
     ),IF(D_I="SI",(Datos!L18-Datos!V18)/Datos!V18,(Datos!L18+Datos!AF18-(Datos!V18+Datos!AN18))/(Datos!V18+Datos!AN18))," - ")</f>
        <v>0.44330740892345477</v>
      </c>
      <c r="H18" s="365">
        <f>IF(ISNUMBER((Datos!M18-Datos!W18)/Datos!W18),(Datos!M18-Datos!W18)/Datos!W18," - ")</f>
        <v>9.5115681233933158E-2</v>
      </c>
      <c r="I18" s="366">
        <f>IF(ISNUMBER((Tasas!C18-Datos!BE18)/Datos!BE18),(Tasas!C18-Datos!BE18)/Datos!BE18," - ")</f>
        <v>0.34897359134675843</v>
      </c>
      <c r="J18" s="364">
        <f>IF(ISNUMBER((Tasas!D18-Datos!BF18)/Datos!BF18),(Tasas!D18-Datos!BF18)/Datos!BF18," - ")</f>
        <v>2.3539492917989718E-2</v>
      </c>
      <c r="K18" s="367">
        <f>IF(ISNUMBER((Tasas!E18-Datos!BG18)/Datos!BG18),(Tasas!E18-Datos!BG18)/Datos!BG18," - ")</f>
        <v>0.1806194700102263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0.35241522189510416</v>
      </c>
      <c r="E19" s="372">
        <f>IF(ISNUMBER(
   IF(J_V="SI",(Datos!J19-Datos!T19)/Datos!T19,(Datos!J19+Datos!Z19-(Datos!T19+Datos!AH19))/(Datos!T19+Datos!AH19))
     ),IF(J_V="SI",(Datos!J19-Datos!T19)/Datos!T19,(Datos!J19+Datos!Z19-(Datos!T19+Datos!AH19))/(Datos!T19+Datos!AH19))," - ")</f>
        <v>0.13237139272271017</v>
      </c>
      <c r="F19" s="372">
        <f>IF(ISNUMBER(
   IF(J_V="SI",(Datos!K19-Datos!U19)/Datos!U19,(Datos!K19+Datos!AA19-(Datos!U19+Datos!AI19))/(Datos!U19+Datos!AI19))
     ),IF(J_V="SI",(Datos!K19-Datos!U19)/Datos!U19,(Datos!K19+Datos!AA19-(Datos!U19+Datos!AI19))/(Datos!U19+Datos!AI19))," - ")</f>
        <v>-1.0752688172043012E-2</v>
      </c>
      <c r="G19" s="373">
        <f>IF(ISNUMBER(
   IF(J_V="SI",(Datos!L19-Datos!V19)/Datos!V19,(Datos!L19+Datos!AB19-(Datos!V19+Datos!AJ19))/(Datos!V19+Datos!AJ19))
     ),IF(J_V="SI",(Datos!L19-Datos!V19)/Datos!V19,(Datos!L19+Datos!AB19-(Datos!V19+Datos!AJ19))/(Datos!V19+Datos!AJ19))," - ")</f>
        <v>0.39204488528203585</v>
      </c>
      <c r="H19" s="374">
        <f>IF(ISNUMBER((Datos!M19-Datos!W19)/Datos!W19),(Datos!M19-Datos!W19)/Datos!W19," - ")</f>
        <v>5.6417489421720732E-3</v>
      </c>
      <c r="I19" s="371">
        <f>IF(ISNUMBER((Tasas!C19-Datos!BE19)/Datos!BE19),(Tasas!C19-Datos!BE19)/Datos!BE19," - ")</f>
        <v>0.40717580794814501</v>
      </c>
      <c r="J19" s="372">
        <f>IF(ISNUMBER((Tasas!D19-Datos!BF19)/Datos!BF19),(Tasas!D19-Datos!BF19)/Datos!BF19," - ")</f>
        <v>-0.36887040280210159</v>
      </c>
      <c r="K19" s="373">
        <f>IF(ISNUMBER((Tasas!E19-Datos!BG19)/Datos!BG19),(Tasas!E19-Datos!BG19)/Datos!BG19," - ")</f>
        <v>0.29088181129817792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0.67725502079974997</v>
      </c>
      <c r="E21" s="282">
        <f t="shared" si="1"/>
        <v>0.26608191167440631</v>
      </c>
      <c r="F21" s="282">
        <f t="shared" si="1"/>
        <v>0.46800227407907946</v>
      </c>
      <c r="G21" s="283">
        <f t="shared" si="1"/>
        <v>7.9266425145695124E-2</v>
      </c>
      <c r="H21" s="289">
        <f t="shared" si="1"/>
        <v>0.23834218623556633</v>
      </c>
      <c r="I21" s="281">
        <f t="shared" si="1"/>
        <v>0.13476178901232036</v>
      </c>
      <c r="J21" s="282">
        <f t="shared" si="1"/>
        <v>0.4380321501418904</v>
      </c>
      <c r="K21" s="283">
        <f t="shared" si="1"/>
        <v>0.15834858038271071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RXDFHuyXmmiw2JblhTixADJYpPSw5iAFRvW0xccJPR2mtGMGcvNSKSTj7UE+YhZfB4qcmVq1P9aJMpxdKDJZA==" saltValue="Yc0v9OU5MQOqzj14rsymB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